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60" windowWidth="15195" windowHeight="9210" activeTab="2"/>
  </bookViews>
  <sheets>
    <sheet name="INSTRUCTIONS" sheetId="9" r:id="rId1"/>
    <sheet name="BTU" sheetId="1" r:id="rId2"/>
    <sheet name="FUELS" sheetId="2" r:id="rId3"/>
    <sheet name="INPUT" sheetId="6" r:id="rId4"/>
    <sheet name="PAYBACK" sheetId="5" r:id="rId5"/>
    <sheet name="ANALYSIS" sheetId="7" r:id="rId6"/>
    <sheet name="AMORTIZATION" sheetId="3" r:id="rId7"/>
  </sheets>
  <definedNames>
    <definedName name="_xlnm._FilterDatabase" localSheetId="4" hidden="1">PAYBACK!$B$31:$I$33</definedName>
    <definedName name="Annual_interest_rate">AMORTIZATION!$C$7</definedName>
    <definedName name="Loan_amount">AMORTIZATION!$C$6</definedName>
    <definedName name="Payments_per_year">AMORTIZATION!$C$9</definedName>
    <definedName name="Periodic_rate">Annual_interest_rate/Payments_per_year</definedName>
    <definedName name="_xlnm.Print_Area" localSheetId="5">ANALYSIS!$A$1:$O$42</definedName>
    <definedName name="_xlnm.Print_Area" localSheetId="2">FUELS!$A$1:$K$40</definedName>
    <definedName name="_xlnm.Print_Area" localSheetId="3">INPUT!$A$1:$K$53</definedName>
    <definedName name="_xlnm.Print_Area" localSheetId="4">PAYBACK!$A$1:$J$59</definedName>
    <definedName name="Term_in_years">AMORTIZATION!$C$8</definedName>
    <definedName name="Total_payments">Payments_per_year*Term_in_years</definedName>
  </definedNames>
  <calcPr calcId="125725"/>
</workbook>
</file>

<file path=xl/calcChain.xml><?xml version="1.0" encoding="utf-8"?>
<calcChain xmlns="http://schemas.openxmlformats.org/spreadsheetml/2006/main">
  <c r="C6" i="3"/>
  <c r="C13" s="1"/>
  <c r="J38" i="7" s="1"/>
  <c r="E40" s="1"/>
  <c r="C7" i="3"/>
  <c r="C8"/>
  <c r="M2" i="7"/>
  <c r="E5"/>
  <c r="F10"/>
  <c r="L17"/>
  <c r="E36"/>
  <c r="J36"/>
  <c r="E38"/>
  <c r="G5" i="2"/>
  <c r="D14" i="5" s="1"/>
  <c r="G7" i="2"/>
  <c r="D41" i="5"/>
  <c r="I13" i="2"/>
  <c r="D48" i="5" s="1"/>
  <c r="I15" i="2"/>
  <c r="I17"/>
  <c r="H28" s="1"/>
  <c r="I19"/>
  <c r="D52" i="5" s="1"/>
  <c r="I21" i="2"/>
  <c r="E25"/>
  <c r="E28"/>
  <c r="D19" i="5" s="1"/>
  <c r="I29" i="6"/>
  <c r="I33"/>
  <c r="I37"/>
  <c r="I41"/>
  <c r="F11" i="5"/>
  <c r="I45" i="6"/>
  <c r="D6" i="5"/>
  <c r="E6"/>
  <c r="F6"/>
  <c r="G6"/>
  <c r="D7"/>
  <c r="E7"/>
  <c r="F7"/>
  <c r="G7"/>
  <c r="H7"/>
  <c r="D8"/>
  <c r="E8"/>
  <c r="F8"/>
  <c r="G8"/>
  <c r="H8"/>
  <c r="D9"/>
  <c r="E9"/>
  <c r="F9"/>
  <c r="G9"/>
  <c r="H9"/>
  <c r="D11"/>
  <c r="E11"/>
  <c r="G11"/>
  <c r="H11"/>
  <c r="D18"/>
  <c r="D31"/>
  <c r="D39"/>
  <c r="D56"/>
  <c r="D40"/>
  <c r="E26" i="2"/>
  <c r="F11" i="7" s="1"/>
  <c r="E30" i="2"/>
  <c r="H30" s="1"/>
  <c r="D45" i="5"/>
  <c r="D27"/>
  <c r="D49"/>
  <c r="D23"/>
  <c r="F13" i="7"/>
  <c r="E29" i="2"/>
  <c r="D28" i="5" s="1"/>
  <c r="G9" i="2"/>
  <c r="K5" i="7" s="1"/>
  <c r="H10" s="1"/>
  <c r="D15" i="5"/>
  <c r="H15" i="7" l="1"/>
  <c r="K15" s="1"/>
  <c r="L15" s="1"/>
  <c r="D33" i="5"/>
  <c r="D58"/>
  <c r="H13" i="7"/>
  <c r="D20" i="5"/>
  <c r="D46"/>
  <c r="F15" i="7"/>
  <c r="D53" i="5"/>
  <c r="F14" i="7"/>
  <c r="D32" i="5"/>
  <c r="E19" i="1"/>
  <c r="H25" i="2"/>
  <c r="H29"/>
  <c r="D57" i="5"/>
  <c r="D44"/>
  <c r="E27" i="2"/>
  <c r="H26"/>
  <c r="D22" i="5"/>
  <c r="D50" l="1"/>
  <c r="D24"/>
  <c r="H35" i="2"/>
  <c r="J11" i="7" s="1"/>
  <c r="H11"/>
  <c r="H27" i="2"/>
  <c r="F12" i="7"/>
  <c r="E37" i="2"/>
  <c r="I13" i="7" s="1"/>
  <c r="E35" i="2"/>
  <c r="I11" i="7" s="1"/>
  <c r="E36" i="2"/>
  <c r="I12" i="7" s="1"/>
  <c r="D42" i="5"/>
  <c r="E58" s="1"/>
  <c r="E38" i="2"/>
  <c r="I14" i="7" s="1"/>
  <c r="D16" i="5"/>
  <c r="E39" i="2"/>
  <c r="I15" i="7" s="1"/>
  <c r="E19" i="5"/>
  <c r="E20"/>
  <c r="H14" i="7"/>
  <c r="H38" i="2"/>
  <c r="J14" i="7" s="1"/>
  <c r="D54" i="5"/>
  <c r="D29"/>
  <c r="E33"/>
  <c r="E32"/>
  <c r="E45"/>
  <c r="E57"/>
  <c r="K13" i="7"/>
  <c r="L13" s="1"/>
  <c r="H39" i="2"/>
  <c r="J15" i="7" s="1"/>
  <c r="H37" i="2"/>
  <c r="J13" i="7" s="1"/>
  <c r="H25" l="1"/>
  <c r="K25" s="1"/>
  <c r="E56" i="5"/>
  <c r="F58"/>
  <c r="E24"/>
  <c r="E23"/>
  <c r="E18"/>
  <c r="H29" i="7"/>
  <c r="K29" s="1"/>
  <c r="F20" i="5"/>
  <c r="H12" i="7"/>
  <c r="K12" s="1"/>
  <c r="L12" s="1"/>
  <c r="H36" i="2"/>
  <c r="J12" i="7" s="1"/>
  <c r="E50" i="5"/>
  <c r="E49"/>
  <c r="E53"/>
  <c r="E54"/>
  <c r="E29"/>
  <c r="E28"/>
  <c r="H32" i="7"/>
  <c r="K32" s="1"/>
  <c r="E31" i="5"/>
  <c r="F33"/>
  <c r="E46"/>
  <c r="K14" i="7"/>
  <c r="L14" s="1"/>
  <c r="K11"/>
  <c r="L11" s="1"/>
  <c r="H23" l="1"/>
  <c r="K23" s="1"/>
  <c r="E52" i="5"/>
  <c r="F54"/>
  <c r="H30" i="7"/>
  <c r="K30" s="1"/>
  <c r="E27" i="5"/>
  <c r="F29"/>
  <c r="H24" i="7"/>
  <c r="K24" s="1"/>
  <c r="F50" i="5"/>
  <c r="E48"/>
  <c r="E44"/>
  <c r="H22" i="7"/>
  <c r="K22" s="1"/>
  <c r="F46" i="5"/>
  <c r="H31" i="7"/>
  <c r="K31" s="1"/>
  <c r="F24" i="5"/>
  <c r="E22"/>
</calcChain>
</file>

<file path=xl/sharedStrings.xml><?xml version="1.0" encoding="utf-8"?>
<sst xmlns="http://schemas.openxmlformats.org/spreadsheetml/2006/main" count="241" uniqueCount="174">
  <si>
    <t>FUEL</t>
  </si>
  <si>
    <t>GROSS HEATING VALUE</t>
  </si>
  <si>
    <t>NET HEATING VALUE FOR COMPARISON COSTS</t>
  </si>
  <si>
    <t># 2 FUEL OIL</t>
  </si>
  <si>
    <t>SEASONED FIREWOOD</t>
  </si>
  <si>
    <t>ELECTRICITY</t>
  </si>
  <si>
    <t>PREMIUM WOOD PELLETS</t>
  </si>
  <si>
    <t>3,413 Btu/kWh</t>
  </si>
  <si>
    <t>16,400,000 Btu/Ton</t>
  </si>
  <si>
    <t>138,800 Btu/Gallon</t>
  </si>
  <si>
    <t>20,000,000 Btu/Cord</t>
  </si>
  <si>
    <t>Btu/Gallon</t>
  </si>
  <si>
    <t>Btu/Cord</t>
  </si>
  <si>
    <t>Btu/KWh</t>
  </si>
  <si>
    <t>Btu/Ton</t>
  </si>
  <si>
    <t>ANNUAL ALTERNATIVE ENERGY COST COMPARISONS</t>
  </si>
  <si>
    <t>Per Gallon</t>
  </si>
  <si>
    <t>Your current annual heating costs with oil is:</t>
  </si>
  <si>
    <t>Per Cord</t>
  </si>
  <si>
    <t>Per KWh</t>
  </si>
  <si>
    <t>Per Ton</t>
  </si>
  <si>
    <t>FUEL TYPE</t>
  </si>
  <si>
    <t>ANNUAL USAGE</t>
  </si>
  <si>
    <t>ANNUAL COSTS</t>
  </si>
  <si>
    <t>Gallons</t>
  </si>
  <si>
    <t>Cords</t>
  </si>
  <si>
    <t>KwH</t>
  </si>
  <si>
    <t>Tons</t>
  </si>
  <si>
    <t>#2 Fuel Oil</t>
  </si>
  <si>
    <t>Seasoned Firewood</t>
  </si>
  <si>
    <t>Electricity</t>
  </si>
  <si>
    <t>Premium Wood Pellets</t>
  </si>
  <si>
    <t>Coal</t>
  </si>
  <si>
    <t>THE COMPARATIVE COST FOR ALTERNATIVE FUELS</t>
  </si>
  <si>
    <t>ANNUAL DOLLAR SAVINGS</t>
  </si>
  <si>
    <t>PERCENTAGE SAVINGS</t>
  </si>
  <si>
    <t xml:space="preserve">ALTERNATIVE FUEL COST SAVINGS OVER OIL </t>
  </si>
  <si>
    <t>25,000,000 Btu/Ton</t>
  </si>
  <si>
    <t>AMORTIZATION TABLE</t>
  </si>
  <si>
    <t>LOAN DATA</t>
  </si>
  <si>
    <t>Loan amount:</t>
  </si>
  <si>
    <t>Annual interest rate:</t>
  </si>
  <si>
    <t>Term in years:</t>
  </si>
  <si>
    <t>Payments per year:</t>
  </si>
  <si>
    <t>PERIODIC PAYMENT</t>
  </si>
  <si>
    <t>Calculated payment:</t>
  </si>
  <si>
    <t xml:space="preserve">Per payment period </t>
  </si>
  <si>
    <t>Enter term as a number</t>
  </si>
  <si>
    <t>Leave this set at 1 even if you make 12 monthly payments per year</t>
  </si>
  <si>
    <r>
      <t>Enter loan amount as numbers only.</t>
    </r>
    <r>
      <rPr>
        <b/>
        <sz val="9"/>
        <color indexed="17"/>
        <rFont val="Arial"/>
        <family val="2"/>
      </rPr>
      <t xml:space="preserve"> </t>
    </r>
    <r>
      <rPr>
        <b/>
        <i/>
        <sz val="9"/>
        <color indexed="12"/>
        <rFont val="Arial"/>
        <family val="2"/>
      </rPr>
      <t>Example: 2500</t>
    </r>
  </si>
  <si>
    <r>
      <t>Enter loan rate as a number with decimal point, but no % sign.</t>
    </r>
    <r>
      <rPr>
        <b/>
        <sz val="9"/>
        <color indexed="17"/>
        <rFont val="Arial"/>
        <family val="2"/>
      </rPr>
      <t xml:space="preserve"> </t>
    </r>
    <r>
      <rPr>
        <b/>
        <i/>
        <sz val="9"/>
        <color indexed="12"/>
        <rFont val="Arial"/>
        <family val="2"/>
      </rPr>
      <t>Ex: 5.25</t>
    </r>
  </si>
  <si>
    <r>
      <t>EFFIC</t>
    </r>
    <r>
      <rPr>
        <b/>
        <vertAlign val="superscript"/>
        <sz val="12"/>
        <color indexed="17"/>
        <rFont val="Arial"/>
        <family val="2"/>
      </rPr>
      <t>3</t>
    </r>
    <r>
      <rPr>
        <b/>
        <sz val="12"/>
        <color indexed="17"/>
        <rFont val="Arial"/>
        <family val="2"/>
      </rPr>
      <t xml:space="preserve">    %</t>
    </r>
  </si>
  <si>
    <r>
      <t>1</t>
    </r>
    <r>
      <rPr>
        <sz val="10"/>
        <rFont val="Arial"/>
        <family val="2"/>
      </rPr>
      <t>Values taken from the USDA Fuel Value Calculator - July '04</t>
    </r>
  </si>
  <si>
    <r>
      <t>2</t>
    </r>
    <r>
      <rPr>
        <sz val="10"/>
        <rFont val="Arial"/>
        <family val="2"/>
      </rPr>
      <t>Anthracite Coal</t>
    </r>
  </si>
  <si>
    <r>
      <t>3</t>
    </r>
    <r>
      <rPr>
        <sz val="10"/>
        <rFont val="Arial"/>
        <family val="2"/>
      </rPr>
      <t>Typical efficiencies are dependent upon several factors</t>
    </r>
  </si>
  <si>
    <t>System Costs</t>
  </si>
  <si>
    <t>Other Assoc. Costs</t>
  </si>
  <si>
    <t>Installation</t>
  </si>
  <si>
    <t>Renewable Energy Credits</t>
  </si>
  <si>
    <t>Oil Boiler</t>
  </si>
  <si>
    <t>Pellet Boiler</t>
  </si>
  <si>
    <t>Coal Boiler</t>
  </si>
  <si>
    <t>Wood  Boiler</t>
  </si>
  <si>
    <t>TOTAL COSTS</t>
  </si>
  <si>
    <t>Cost per ton of pellets</t>
  </si>
  <si>
    <t>Cost per cord of wood:</t>
  </si>
  <si>
    <t>Cost per ton of coal</t>
  </si>
  <si>
    <t>years</t>
  </si>
  <si>
    <t>gallons</t>
  </si>
  <si>
    <t>Years</t>
  </si>
  <si>
    <r>
      <t>HEATING VALUES &amp; EFFICIENCIES FOR VARIOUS FUELS</t>
    </r>
    <r>
      <rPr>
        <b/>
        <vertAlign val="superscript"/>
        <sz val="10"/>
        <color indexed="17"/>
        <rFont val="Arial"/>
        <family val="2"/>
      </rPr>
      <t>1</t>
    </r>
  </si>
  <si>
    <t>Amount Borrowed::</t>
  </si>
  <si>
    <t>Term of Loan in Years:</t>
  </si>
  <si>
    <t>Estimated Int. Rate::</t>
  </si>
  <si>
    <t>System Cost</t>
  </si>
  <si>
    <t>Other Costs</t>
  </si>
  <si>
    <t>Installation Cost</t>
  </si>
  <si>
    <t>Renew. Energy Cred.</t>
  </si>
  <si>
    <t xml:space="preserve">CUSTOMIZED ALTERNATIVE FUEL ANALYSIS FOR </t>
  </si>
  <si>
    <t>Your current annual oil usage is:</t>
  </si>
  <si>
    <t>Your current annual fuel cost is:</t>
  </si>
  <si>
    <t>COMPARATIVE ALTERNATIVE FUELS TO REPLACE YOUR CURRENT FUEL OIL USAGE</t>
  </si>
  <si>
    <t>ANNUAL SAVINGS</t>
  </si>
  <si>
    <t>% SAVINGS</t>
  </si>
  <si>
    <t>#2 FUEL OIL</t>
  </si>
  <si>
    <t>DRIED FIREWOOD</t>
  </si>
  <si>
    <t>PREM. WD. PELLETS</t>
  </si>
  <si>
    <t>COAL</t>
  </si>
  <si>
    <t>LOAN AMOUNT</t>
  </si>
  <si>
    <t>TERM OF LOAN</t>
  </si>
  <si>
    <t>LOAN RATE</t>
  </si>
  <si>
    <t>ANNUALIZED PAYMENT</t>
  </si>
  <si>
    <t>MONTHLY PAYMENTS</t>
  </si>
  <si>
    <t>Age of  oil system(Assume 20 year life):</t>
  </si>
  <si>
    <r>
      <t xml:space="preserve">Estimated cost of replacement </t>
    </r>
    <r>
      <rPr>
        <b/>
        <sz val="10"/>
        <color indexed="10"/>
        <rFont val="Arial"/>
        <family val="2"/>
      </rPr>
      <t>oil</t>
    </r>
    <r>
      <rPr>
        <b/>
        <sz val="10"/>
        <rFont val="Arial"/>
        <family val="2"/>
      </rPr>
      <t xml:space="preserve"> fired system:</t>
    </r>
  </si>
  <si>
    <r>
      <t xml:space="preserve">Years to payback a </t>
    </r>
    <r>
      <rPr>
        <sz val="9"/>
        <color indexed="10"/>
        <rFont val="Arial"/>
        <family val="2"/>
      </rPr>
      <t>wood pellet</t>
    </r>
    <r>
      <rPr>
        <sz val="9"/>
        <rFont val="Arial"/>
        <family val="2"/>
      </rPr>
      <t xml:space="preserve"> system if used 90% pellets/10% oil</t>
    </r>
  </si>
  <si>
    <r>
      <t xml:space="preserve">Years to payback a </t>
    </r>
    <r>
      <rPr>
        <sz val="10"/>
        <color indexed="10"/>
        <rFont val="Arial"/>
        <family val="2"/>
      </rPr>
      <t>coal</t>
    </r>
    <r>
      <rPr>
        <sz val="10"/>
        <rFont val="Arial"/>
      </rPr>
      <t xml:space="preserve"> system if used 90% coal/10% oil</t>
    </r>
  </si>
  <si>
    <r>
      <t xml:space="preserve">Years to payback a </t>
    </r>
    <r>
      <rPr>
        <sz val="9"/>
        <color indexed="10"/>
        <rFont val="Arial"/>
        <family val="2"/>
      </rPr>
      <t>wood boiler</t>
    </r>
    <r>
      <rPr>
        <sz val="9"/>
        <rFont val="Arial"/>
        <family val="2"/>
      </rPr>
      <t xml:space="preserve"> system if used 90% wood/10% oil</t>
    </r>
  </si>
  <si>
    <t>ALTERNATIVE FUEL CALCULATOR - INPUT DATA</t>
  </si>
  <si>
    <r>
      <t>Current cost per cord of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seasoned firewood</t>
    </r>
    <r>
      <rPr>
        <b/>
        <sz val="10"/>
        <rFont val="Arial"/>
        <family val="2"/>
      </rPr>
      <t xml:space="preserve">:  </t>
    </r>
    <r>
      <rPr>
        <sz val="10"/>
        <color indexed="8"/>
        <rFont val="Arial"/>
        <family val="2"/>
      </rPr>
      <t/>
    </r>
  </si>
  <si>
    <r>
      <t>Current cost per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kWh of electricity</t>
    </r>
    <r>
      <rPr>
        <b/>
        <sz val="10"/>
        <rFont val="Arial"/>
        <family val="2"/>
      </rPr>
      <t xml:space="preserve">:  </t>
    </r>
    <r>
      <rPr>
        <sz val="10"/>
        <color indexed="8"/>
        <rFont val="Arial"/>
        <family val="2"/>
      </rPr>
      <t/>
    </r>
  </si>
  <si>
    <r>
      <t xml:space="preserve">Current cost per ton of </t>
    </r>
    <r>
      <rPr>
        <b/>
        <sz val="10"/>
        <color indexed="17"/>
        <rFont val="Arial"/>
        <family val="2"/>
      </rPr>
      <t>premium wood pellets</t>
    </r>
    <r>
      <rPr>
        <b/>
        <sz val="10"/>
        <rFont val="Arial"/>
        <family val="2"/>
      </rPr>
      <t xml:space="preserve">:  </t>
    </r>
    <r>
      <rPr>
        <sz val="10"/>
        <color indexed="8"/>
        <rFont val="Arial"/>
        <family val="2"/>
      </rPr>
      <t/>
    </r>
  </si>
  <si>
    <r>
      <t>Current cost per ton of</t>
    </r>
    <r>
      <rPr>
        <b/>
        <i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coal (anthracite)</t>
    </r>
    <r>
      <rPr>
        <b/>
        <sz val="10"/>
        <rFont val="Arial"/>
        <family val="2"/>
      </rPr>
      <t xml:space="preserve">:  </t>
    </r>
    <r>
      <rPr>
        <sz val="10"/>
        <color indexed="8"/>
        <rFont val="Arial"/>
        <family val="2"/>
      </rPr>
      <t/>
    </r>
  </si>
  <si>
    <t xml:space="preserve">   Equivalent pellet used in tons</t>
  </si>
  <si>
    <t xml:space="preserve">   Equivalent wood used in cords</t>
  </si>
  <si>
    <t xml:space="preserve">   Equaivalent coal used in tons</t>
  </si>
  <si>
    <t>Amount of fuel oil used (gallons):</t>
  </si>
  <si>
    <t xml:space="preserve">   Cost per gallon of oil</t>
  </si>
  <si>
    <t>Age of system:</t>
  </si>
  <si>
    <r>
      <t xml:space="preserve">   Total cost of </t>
    </r>
    <r>
      <rPr>
        <b/>
        <sz val="10"/>
        <color indexed="17"/>
        <rFont val="Arial"/>
      </rPr>
      <t>fuel oil</t>
    </r>
    <r>
      <rPr>
        <b/>
        <sz val="10"/>
        <rFont val="Arial"/>
      </rPr>
      <t xml:space="preserve"> used</t>
    </r>
  </si>
  <si>
    <r>
      <t xml:space="preserve">   Total cost of </t>
    </r>
    <r>
      <rPr>
        <b/>
        <sz val="10"/>
        <color indexed="17"/>
        <rFont val="Arial"/>
      </rPr>
      <t>pellets</t>
    </r>
    <r>
      <rPr>
        <b/>
        <sz val="10"/>
        <rFont val="Arial"/>
      </rPr>
      <t xml:space="preserve"> used</t>
    </r>
  </si>
  <si>
    <r>
      <t xml:space="preserve">  Total cost of </t>
    </r>
    <r>
      <rPr>
        <b/>
        <sz val="10"/>
        <color indexed="17"/>
        <rFont val="Arial"/>
      </rPr>
      <t>cord wood</t>
    </r>
    <r>
      <rPr>
        <b/>
        <sz val="10"/>
        <rFont val="Arial"/>
      </rPr>
      <t xml:space="preserve"> used</t>
    </r>
  </si>
  <si>
    <r>
      <t xml:space="preserve">  Total cost of </t>
    </r>
    <r>
      <rPr>
        <b/>
        <sz val="10"/>
        <color indexed="17"/>
        <rFont val="Arial"/>
      </rPr>
      <t>coal</t>
    </r>
    <r>
      <rPr>
        <b/>
        <sz val="10"/>
        <rFont val="Arial"/>
      </rPr>
      <t xml:space="preserve"> used</t>
    </r>
  </si>
  <si>
    <r>
      <t xml:space="preserve">   Total cost of </t>
    </r>
    <r>
      <rPr>
        <b/>
        <sz val="10"/>
        <color indexed="17"/>
        <rFont val="Arial"/>
      </rPr>
      <t>cord wood</t>
    </r>
    <r>
      <rPr>
        <b/>
        <sz val="10"/>
        <rFont val="Arial"/>
      </rPr>
      <t xml:space="preserve"> used</t>
    </r>
  </si>
  <si>
    <r>
      <t xml:space="preserve">   Total cost of </t>
    </r>
    <r>
      <rPr>
        <b/>
        <sz val="10"/>
        <color indexed="17"/>
        <rFont val="Arial"/>
      </rPr>
      <t>coal</t>
    </r>
    <r>
      <rPr>
        <b/>
        <sz val="10"/>
        <rFont val="Arial"/>
      </rPr>
      <t xml:space="preserve"> used</t>
    </r>
  </si>
  <si>
    <t xml:space="preserve">   Equivalent pellet use in tons</t>
  </si>
  <si>
    <t>Cost per cord of wood</t>
  </si>
  <si>
    <t xml:space="preserve">   Equivalent wood use in cords</t>
  </si>
  <si>
    <t xml:space="preserve">   Equivalent coat use in tons</t>
  </si>
  <si>
    <t>This analysis is being done for:</t>
  </si>
  <si>
    <t>COST OF SYSTEMS:</t>
  </si>
  <si>
    <t>WHAT'S THE PAYBACK IF I ELIMINATE MY FUEL OIL SYSTEM ENTIRELY?</t>
  </si>
  <si>
    <t>WHAT'S THE PAYBACK IF I USE FUEL OIL FOR ONLY 10% OF MY HEATING NEEDS?</t>
  </si>
  <si>
    <t>MONTHLY SAVINGS</t>
  </si>
  <si>
    <t>FINANCE COSTS - MONTHLY PAYMENT</t>
  </si>
  <si>
    <r>
      <t xml:space="preserve">Years to payback a </t>
    </r>
    <r>
      <rPr>
        <sz val="10"/>
        <color indexed="10"/>
        <rFont val="Arial"/>
        <family val="2"/>
      </rPr>
      <t>wood pellet</t>
    </r>
    <r>
      <rPr>
        <sz val="10"/>
        <rFont val="Arial"/>
      </rPr>
      <t xml:space="preserve"> system if replacing oil 100%</t>
    </r>
  </si>
  <si>
    <r>
      <t xml:space="preserve">Years to payback a </t>
    </r>
    <r>
      <rPr>
        <sz val="10"/>
        <color indexed="10"/>
        <rFont val="Arial"/>
        <family val="2"/>
      </rPr>
      <t>coal</t>
    </r>
    <r>
      <rPr>
        <sz val="10"/>
        <rFont val="Arial"/>
      </rPr>
      <t xml:space="preserve"> system if replacing oil 100%</t>
    </r>
  </si>
  <si>
    <r>
      <t xml:space="preserve">Years to payback a </t>
    </r>
    <r>
      <rPr>
        <sz val="10"/>
        <color indexed="10"/>
        <rFont val="Arial"/>
        <family val="2"/>
      </rPr>
      <t>wood boiler</t>
    </r>
    <r>
      <rPr>
        <sz val="10"/>
        <rFont val="Arial"/>
      </rPr>
      <t xml:space="preserve"> system if replacing oil 100%</t>
    </r>
  </si>
  <si>
    <t>Your annual fuel oil usage (from INPUT sheet):</t>
  </si>
  <si>
    <t>(No Input Is Required (Data Comes From INPUT Sheet)</t>
  </si>
  <si>
    <r>
      <t>COAL</t>
    </r>
    <r>
      <rPr>
        <vertAlign val="superscript"/>
        <sz val="9"/>
        <rFont val="Arial"/>
        <family val="2"/>
      </rPr>
      <t>2</t>
    </r>
  </si>
  <si>
    <t>(No Input Is Required)</t>
  </si>
  <si>
    <t>How To Use This Calculator</t>
  </si>
  <si>
    <t>1</t>
  </si>
  <si>
    <t>Only boxes highlighted in yellow require input</t>
  </si>
  <si>
    <t>2</t>
  </si>
  <si>
    <t>START with the tab at the bottom labled INPUT</t>
  </si>
  <si>
    <t>3</t>
  </si>
  <si>
    <t>4</t>
  </si>
  <si>
    <t>Current price per gallon of Fuel Oil (from INPUT sheet):</t>
  </si>
  <si>
    <t>INPUT those areas shaded in yellow ... only if you want to change what is there</t>
  </si>
  <si>
    <t xml:space="preserve">INPUT the terms of financing if applicable ... </t>
  </si>
  <si>
    <t>PROPANE</t>
  </si>
  <si>
    <t>91,200 Btu/Gallon</t>
  </si>
  <si>
    <r>
      <t xml:space="preserve">Current cost per gallon of </t>
    </r>
    <r>
      <rPr>
        <b/>
        <sz val="10"/>
        <color indexed="17"/>
        <rFont val="Arial"/>
        <family val="2"/>
      </rPr>
      <t>propane:</t>
    </r>
  </si>
  <si>
    <r>
      <t xml:space="preserve">Estimated cost of </t>
    </r>
    <r>
      <rPr>
        <b/>
        <sz val="10"/>
        <color indexed="10"/>
        <rFont val="Arial"/>
        <family val="2"/>
      </rPr>
      <t xml:space="preserve">propane </t>
    </r>
    <r>
      <rPr>
        <b/>
        <sz val="10"/>
        <rFont val="Arial"/>
        <family val="2"/>
      </rPr>
      <t>boiler system:</t>
    </r>
  </si>
  <si>
    <r>
      <t xml:space="preserve">Estimated cost of </t>
    </r>
    <r>
      <rPr>
        <b/>
        <sz val="10"/>
        <color indexed="10"/>
        <rFont val="Arial"/>
        <family val="2"/>
      </rPr>
      <t>pellet</t>
    </r>
    <r>
      <rPr>
        <b/>
        <sz val="10"/>
        <rFont val="Arial"/>
        <family val="2"/>
      </rPr>
      <t xml:space="preserve"> boiler system:</t>
    </r>
  </si>
  <si>
    <r>
      <t xml:space="preserve">Estimated cost of </t>
    </r>
    <r>
      <rPr>
        <b/>
        <sz val="10"/>
        <color indexed="10"/>
        <rFont val="Arial"/>
        <family val="2"/>
      </rPr>
      <t>wood boiler</t>
    </r>
    <r>
      <rPr>
        <b/>
        <sz val="10"/>
        <rFont val="Arial"/>
        <family val="2"/>
      </rPr>
      <t xml:space="preserve">  system:</t>
    </r>
  </si>
  <si>
    <r>
      <t xml:space="preserve">Estimated cost of </t>
    </r>
    <r>
      <rPr>
        <b/>
        <sz val="10"/>
        <color indexed="10"/>
        <rFont val="Arial"/>
        <family val="2"/>
      </rPr>
      <t>coal boiler</t>
    </r>
    <r>
      <rPr>
        <b/>
        <sz val="10"/>
        <rFont val="Arial"/>
        <family val="2"/>
      </rPr>
      <t xml:space="preserve"> system:</t>
    </r>
  </si>
  <si>
    <t>Propane</t>
  </si>
  <si>
    <t>Propane  Boiler</t>
  </si>
  <si>
    <t>Cost per gallon of propane</t>
  </si>
  <si>
    <t xml:space="preserve">   Equaivalent propane used in gals</t>
  </si>
  <si>
    <r>
      <t>Years to payback a</t>
    </r>
    <r>
      <rPr>
        <sz val="10"/>
        <color indexed="10"/>
        <rFont val="Arial"/>
        <family val="2"/>
      </rPr>
      <t xml:space="preserve"> propane boiler</t>
    </r>
    <r>
      <rPr>
        <sz val="10"/>
        <rFont val="Arial"/>
      </rPr>
      <t xml:space="preserve"> system if replacing oil 100%</t>
    </r>
  </si>
  <si>
    <r>
      <t>Years to payback a</t>
    </r>
    <r>
      <rPr>
        <sz val="9"/>
        <color indexed="10"/>
        <rFont val="Arial"/>
        <family val="2"/>
      </rPr>
      <t xml:space="preserve"> propane boiler</t>
    </r>
    <r>
      <rPr>
        <sz val="9"/>
        <rFont val="Arial"/>
        <family val="2"/>
      </rPr>
      <t xml:space="preserve"> system if used 90% wood/10% oil</t>
    </r>
  </si>
  <si>
    <t>COMPARING THE COSTS OF ENERGY UNITS, THE COST OF PELLETS THAT WOULD BE EQUAL TO THE OIL COSTS USED IN THIS ANALYSIS WOULD HAVE TO REACH</t>
  </si>
  <si>
    <r>
      <t xml:space="preserve">A.  COST SAVINGS IF OIL IS USED AS </t>
    </r>
    <r>
      <rPr>
        <b/>
        <u/>
        <sz val="12"/>
        <color indexed="17"/>
        <rFont val="Arial"/>
      </rPr>
      <t>BACK-UP</t>
    </r>
    <r>
      <rPr>
        <b/>
        <sz val="12"/>
        <color indexed="17"/>
        <rFont val="Arial"/>
      </rPr>
      <t xml:space="preserve"> HEAT</t>
    </r>
  </si>
  <si>
    <r>
      <t>B.  COST SAVINGS IF OIL I</t>
    </r>
    <r>
      <rPr>
        <b/>
        <u/>
        <sz val="12"/>
        <color indexed="17"/>
        <rFont val="Arial"/>
        <family val="2"/>
      </rPr>
      <t>S NOT</t>
    </r>
    <r>
      <rPr>
        <b/>
        <sz val="12"/>
        <color indexed="17"/>
        <rFont val="Arial"/>
      </rPr>
      <t xml:space="preserve"> USED AS BACK-UP HEAT</t>
    </r>
  </si>
  <si>
    <r>
      <t xml:space="preserve">  Total cost of </t>
    </r>
    <r>
      <rPr>
        <b/>
        <sz val="10"/>
        <color indexed="57"/>
        <rFont val="Arial"/>
        <family val="2"/>
      </rPr>
      <t>propane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8"/>
        <rFont val="Arial"/>
        <family val="2"/>
      </rPr>
      <t>used</t>
    </r>
  </si>
  <si>
    <t>Mid range cost as of:</t>
  </si>
  <si>
    <r>
      <t xml:space="preserve">FUEL COSTS: </t>
    </r>
    <r>
      <rPr>
        <i/>
        <sz val="12"/>
        <color indexed="12"/>
        <rFont val="Arial"/>
        <family val="2"/>
      </rPr>
      <t>You may change these costs to fit your region</t>
    </r>
  </si>
  <si>
    <t>You may change these costs to fit systems in your region</t>
  </si>
  <si>
    <t>Insert full name</t>
  </si>
  <si>
    <r>
      <t xml:space="preserve">Current cost per gallon of </t>
    </r>
    <r>
      <rPr>
        <b/>
        <sz val="10"/>
        <color indexed="17"/>
        <rFont val="Arial"/>
        <family val="2"/>
      </rPr>
      <t>fuel oil</t>
    </r>
    <r>
      <rPr>
        <b/>
        <sz val="10"/>
        <rFont val="Arial"/>
        <family val="2"/>
      </rPr>
      <t>:</t>
    </r>
    <r>
      <rPr>
        <b/>
        <vertAlign val="superscript"/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Use deciimal point when entering price</t>
    </r>
  </si>
  <si>
    <r>
      <t>FINANCING TERMS (If Applicable):</t>
    </r>
    <r>
      <rPr>
        <i/>
        <sz val="8"/>
        <color indexed="12"/>
        <rFont val="Arial"/>
        <family val="2"/>
      </rPr>
      <t>Amounts shown are placeholders only. Change to fit your needs.</t>
    </r>
  </si>
  <si>
    <t>John Q. Public</t>
  </si>
  <si>
    <r>
      <t xml:space="preserve">PLEASE NOTE:  A positive feedback </t>
    </r>
    <r>
      <rPr>
        <i/>
        <sz val="9"/>
        <color indexed="12"/>
        <rFont val="Arial"/>
        <family val="2"/>
      </rPr>
      <t>may not necessarily</t>
    </r>
    <r>
      <rPr>
        <i/>
        <sz val="9"/>
        <color indexed="63"/>
        <rFont val="Arial"/>
        <family val="2"/>
      </rPr>
      <t xml:space="preserve"> mean the system is a good idea. Check how long payback is in comparison to age of the system.</t>
    </r>
  </si>
  <si>
    <t>NOTE: Your monthly fuel savings may cover your  monthly loan payment</t>
  </si>
  <si>
    <r>
      <t>How many gallons of #2 Fuel oil do you annually use?</t>
    </r>
    <r>
      <rPr>
        <i/>
        <sz val="9"/>
        <rFont val="Arial"/>
        <family val="2"/>
      </rPr>
      <t xml:space="preserve"> </t>
    </r>
    <r>
      <rPr>
        <i/>
        <sz val="8"/>
        <color indexed="17"/>
        <rFont val="Arial"/>
        <family val="2"/>
      </rPr>
      <t>Avg. Maine home is 900-1200</t>
    </r>
    <r>
      <rPr>
        <i/>
        <sz val="9"/>
        <color indexed="17"/>
        <rFont val="Arial"/>
        <family val="2"/>
      </rPr>
      <t>.</t>
    </r>
  </si>
  <si>
    <r>
      <t>Current cost per cord of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seasoned firewood</t>
    </r>
    <r>
      <rPr>
        <b/>
        <sz val="10"/>
        <rFont val="Arial"/>
        <family val="2"/>
      </rPr>
      <t xml:space="preserve">:  </t>
    </r>
    <r>
      <rPr>
        <i/>
        <sz val="10"/>
        <color indexed="12"/>
        <rFont val="Arial"/>
        <family val="2"/>
      </rPr>
      <t>As of 09/19/11</t>
    </r>
  </si>
  <si>
    <r>
      <t>Current cost per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kWh of electricity</t>
    </r>
    <r>
      <rPr>
        <b/>
        <sz val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Houlton Water Co</t>
    </r>
    <r>
      <rPr>
        <b/>
        <sz val="10"/>
        <rFont val="Arial"/>
        <family val="2"/>
      </rPr>
      <t xml:space="preserve">. </t>
    </r>
    <r>
      <rPr>
        <i/>
        <sz val="10"/>
        <color indexed="12"/>
        <rFont val="Arial"/>
        <family val="2"/>
      </rPr>
      <t xml:space="preserve"> As of 09/19/11</t>
    </r>
  </si>
  <si>
    <r>
      <t xml:space="preserve">Current cost per ton of </t>
    </r>
    <r>
      <rPr>
        <b/>
        <sz val="10"/>
        <color indexed="17"/>
        <rFont val="Arial"/>
        <family val="2"/>
      </rPr>
      <t>premium wood pellets</t>
    </r>
    <r>
      <rPr>
        <b/>
        <sz val="10"/>
        <rFont val="Arial"/>
        <family val="2"/>
      </rPr>
      <t xml:space="preserve">:  </t>
    </r>
    <r>
      <rPr>
        <sz val="9"/>
        <color indexed="12"/>
        <rFont val="Arial"/>
        <family val="2"/>
      </rPr>
      <t xml:space="preserve"> </t>
    </r>
    <r>
      <rPr>
        <i/>
        <sz val="9"/>
        <color indexed="12"/>
        <rFont val="Arial"/>
        <family val="2"/>
      </rPr>
      <t>As of 09/19/11</t>
    </r>
    <r>
      <rPr>
        <sz val="9"/>
        <color indexed="12"/>
        <rFont val="Arial"/>
        <family val="2"/>
      </rPr>
      <t xml:space="preserve"> </t>
    </r>
  </si>
  <si>
    <r>
      <t xml:space="preserve">Current cost per gallon of </t>
    </r>
    <r>
      <rPr>
        <b/>
        <sz val="10"/>
        <color indexed="17"/>
        <rFont val="Arial"/>
        <family val="2"/>
      </rPr>
      <t xml:space="preserve">propane: </t>
    </r>
    <r>
      <rPr>
        <i/>
        <sz val="10"/>
        <color indexed="12"/>
        <rFont val="Arial"/>
        <family val="2"/>
      </rPr>
      <t>As of 09/19/11</t>
    </r>
  </si>
  <si>
    <r>
      <t>Current cost per ton of</t>
    </r>
    <r>
      <rPr>
        <b/>
        <i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coal (anthracite)</t>
    </r>
    <r>
      <rPr>
        <b/>
        <sz val="10"/>
        <rFont val="Arial"/>
        <family val="2"/>
      </rPr>
      <t xml:space="preserve">:  </t>
    </r>
    <r>
      <rPr>
        <sz val="9"/>
        <color indexed="12"/>
        <rFont val="Arial"/>
        <family val="2"/>
      </rPr>
      <t xml:space="preserve"> </t>
    </r>
    <r>
      <rPr>
        <i/>
        <sz val="9"/>
        <color indexed="12"/>
        <rFont val="Arial"/>
        <family val="2"/>
      </rPr>
      <t>As of 09/19/11</t>
    </r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</si>
</sst>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164" formatCode="&quot;$&quot;#,##0.00"/>
    <numFmt numFmtId="165" formatCode="&quot;$&quot;#,##0"/>
    <numFmt numFmtId="166" formatCode="&quot;$&quot;#,##0.000"/>
    <numFmt numFmtId="167" formatCode="0.0%"/>
    <numFmt numFmtId="169" formatCode="mm/dd/yy"/>
  </numFmts>
  <fonts count="68">
    <font>
      <sz val="10"/>
      <name val="Arial"/>
    </font>
    <font>
      <sz val="10"/>
      <name val="Arial"/>
    </font>
    <font>
      <b/>
      <sz val="10"/>
      <name val="Arial"/>
    </font>
    <font>
      <vertAlign val="superscript"/>
      <sz val="10"/>
      <name val="Arial"/>
      <family val="2"/>
    </font>
    <font>
      <b/>
      <sz val="12"/>
      <color indexed="17"/>
      <name val="Arial"/>
      <family val="2"/>
    </font>
    <font>
      <b/>
      <vertAlign val="superscript"/>
      <sz val="12"/>
      <color indexed="1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i/>
      <sz val="10"/>
      <name val="Geneva"/>
    </font>
    <font>
      <sz val="1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17"/>
      <name val="Arial"/>
      <family val="2"/>
    </font>
    <font>
      <b/>
      <i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11"/>
      <color indexed="17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7"/>
      <name val="Arial"/>
      <family val="2"/>
    </font>
    <font>
      <b/>
      <vertAlign val="superscript"/>
      <sz val="10"/>
      <color indexed="17"/>
      <name val="Arial"/>
      <family val="2"/>
    </font>
    <font>
      <i/>
      <sz val="10"/>
      <color indexed="40"/>
      <name val="Arial"/>
      <family val="2"/>
    </font>
    <font>
      <i/>
      <sz val="10"/>
      <color indexed="49"/>
      <name val="Arial"/>
      <family val="2"/>
    </font>
    <font>
      <sz val="12"/>
      <color indexed="12"/>
      <name val="Arial"/>
      <family val="2"/>
    </font>
    <font>
      <b/>
      <i/>
      <sz val="10"/>
      <color indexed="49"/>
      <name val="Arial"/>
      <family val="2"/>
    </font>
    <font>
      <sz val="9"/>
      <color indexed="10"/>
      <name val="Arial"/>
      <family val="2"/>
    </font>
    <font>
      <b/>
      <u/>
      <sz val="14"/>
      <color indexed="17"/>
      <name val="Arial"/>
      <family val="2"/>
    </font>
    <font>
      <b/>
      <u/>
      <sz val="12"/>
      <color indexed="17"/>
      <name val="Arial"/>
      <family val="2"/>
    </font>
    <font>
      <b/>
      <sz val="10"/>
      <color indexed="17"/>
      <name val="Arial"/>
    </font>
    <font>
      <sz val="10"/>
      <name val="Arial"/>
    </font>
    <font>
      <b/>
      <sz val="10"/>
      <color indexed="12"/>
      <name val="Arial"/>
    </font>
    <font>
      <sz val="10"/>
      <name val="Arial"/>
    </font>
    <font>
      <b/>
      <sz val="10"/>
      <color indexed="10"/>
      <name val="Arial"/>
    </font>
    <font>
      <sz val="10"/>
      <name val="Arial"/>
    </font>
    <font>
      <b/>
      <sz val="12"/>
      <color indexed="17"/>
      <name val="Arial"/>
    </font>
    <font>
      <b/>
      <u/>
      <sz val="12"/>
      <color indexed="17"/>
      <name val="Arial"/>
    </font>
    <font>
      <b/>
      <u/>
      <sz val="12"/>
      <name val="Arial"/>
      <family val="2"/>
    </font>
    <font>
      <b/>
      <i/>
      <sz val="10"/>
      <color indexed="17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2"/>
      <name val="Arial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57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i/>
      <sz val="9"/>
      <name val="Arial"/>
      <family val="2"/>
    </font>
    <font>
      <i/>
      <sz val="9"/>
      <color indexed="17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i/>
      <sz val="12"/>
      <color indexed="12"/>
      <name val="Arial"/>
      <family val="2"/>
    </font>
    <font>
      <i/>
      <sz val="11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i/>
      <sz val="10"/>
      <color indexed="63"/>
      <name val="Arial"/>
      <family val="2"/>
    </font>
    <font>
      <i/>
      <sz val="9"/>
      <color indexed="63"/>
      <name val="Arial"/>
      <family val="2"/>
    </font>
    <font>
      <i/>
      <sz val="8"/>
      <color indexed="1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125">
        <bgColor indexed="40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17"/>
      </right>
      <top style="double">
        <color indexed="17"/>
      </top>
      <bottom/>
      <diagonal/>
    </border>
    <border>
      <left/>
      <right/>
      <top style="double">
        <color indexed="17"/>
      </top>
      <bottom/>
      <diagonal/>
    </border>
    <border>
      <left style="double">
        <color indexed="17"/>
      </left>
      <right/>
      <top style="double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17"/>
      </top>
      <bottom style="double">
        <color indexed="17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medium">
        <color indexed="64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17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17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/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17"/>
      </right>
      <top style="thin">
        <color indexed="64"/>
      </top>
      <bottom style="thin">
        <color indexed="64"/>
      </bottom>
      <diagonal/>
    </border>
    <border>
      <left/>
      <right style="thin">
        <color indexed="17"/>
      </right>
      <top style="thin">
        <color indexed="17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medium">
        <color indexed="64"/>
      </bottom>
      <diagonal/>
    </border>
    <border>
      <left/>
      <right/>
      <top style="thin">
        <color indexed="17"/>
      </top>
      <bottom style="medium">
        <color indexed="64"/>
      </bottom>
      <diagonal/>
    </border>
    <border>
      <left/>
      <right style="thin">
        <color indexed="64"/>
      </right>
      <top style="thin">
        <color indexed="17"/>
      </top>
      <bottom style="medium">
        <color indexed="64"/>
      </bottom>
      <diagonal/>
    </border>
    <border>
      <left style="thin">
        <color indexed="17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1"/>
  </cellStyleXfs>
  <cellXfs count="420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right"/>
    </xf>
    <xf numFmtId="0" fontId="16" fillId="0" borderId="1" xfId="0" applyFont="1" applyBorder="1"/>
    <xf numFmtId="0" fontId="17" fillId="0" borderId="1" xfId="0" applyFont="1" applyBorder="1" applyAlignment="1">
      <alignment horizontal="right"/>
    </xf>
    <xf numFmtId="7" fontId="16" fillId="0" borderId="0" xfId="0" applyNumberFormat="1" applyFont="1" applyBorder="1" applyAlignment="1">
      <alignment horizontal="left"/>
    </xf>
    <xf numFmtId="0" fontId="17" fillId="0" borderId="1" xfId="0" applyFont="1" applyBorder="1"/>
    <xf numFmtId="0" fontId="17" fillId="0" borderId="7" xfId="0" applyFont="1" applyBorder="1"/>
    <xf numFmtId="7" fontId="6" fillId="2" borderId="0" xfId="0" applyNumberFormat="1" applyFont="1" applyFill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5" fontId="0" fillId="3" borderId="15" xfId="0" applyNumberFormat="1" applyFill="1" applyBorder="1" applyAlignment="1">
      <alignment horizontal="center"/>
    </xf>
    <xf numFmtId="10" fontId="0" fillId="3" borderId="15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64" fontId="0" fillId="0" borderId="0" xfId="0" applyNumberFormat="1" applyBorder="1"/>
    <xf numFmtId="0" fontId="18" fillId="0" borderId="0" xfId="0" applyFont="1" applyFill="1" applyBorder="1" applyAlignment="1"/>
    <xf numFmtId="10" fontId="9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165" fontId="0" fillId="3" borderId="15" xfId="0" applyNumberFormat="1" applyFill="1" applyBorder="1" applyAlignment="1">
      <alignment horizontal="right" vertical="center"/>
    </xf>
    <xf numFmtId="0" fontId="24" fillId="0" borderId="0" xfId="0" applyFont="1" applyBorder="1"/>
    <xf numFmtId="0" fontId="29" fillId="0" borderId="0" xfId="0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right" vertical="center"/>
    </xf>
    <xf numFmtId="0" fontId="8" fillId="0" borderId="16" xfId="0" applyFont="1" applyBorder="1"/>
    <xf numFmtId="0" fontId="8" fillId="0" borderId="9" xfId="0" applyFont="1" applyBorder="1"/>
    <xf numFmtId="0" fontId="8" fillId="0" borderId="9" xfId="0" applyFont="1" applyFill="1" applyBorder="1"/>
    <xf numFmtId="0" fontId="0" fillId="0" borderId="0" xfId="0" applyFill="1" applyBorder="1"/>
    <xf numFmtId="165" fontId="0" fillId="0" borderId="9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165" fontId="6" fillId="0" borderId="7" xfId="0" applyNumberFormat="1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/>
    <xf numFmtId="0" fontId="1" fillId="0" borderId="19" xfId="0" applyFont="1" applyBorder="1"/>
    <xf numFmtId="0" fontId="1" fillId="0" borderId="18" xfId="0" applyFont="1" applyBorder="1"/>
    <xf numFmtId="0" fontId="1" fillId="0" borderId="17" xfId="0" applyFont="1" applyBorder="1"/>
    <xf numFmtId="0" fontId="37" fillId="0" borderId="11" xfId="0" applyFont="1" applyBorder="1"/>
    <xf numFmtId="0" fontId="36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/>
    <xf numFmtId="0" fontId="37" fillId="0" borderId="10" xfId="0" applyFont="1" applyBorder="1"/>
    <xf numFmtId="0" fontId="37" fillId="0" borderId="0" xfId="0" applyFont="1" applyFill="1" applyBorder="1"/>
    <xf numFmtId="0" fontId="39" fillId="0" borderId="0" xfId="0" applyFont="1" applyBorder="1"/>
    <xf numFmtId="0" fontId="39" fillId="0" borderId="11" xfId="0" applyFont="1" applyBorder="1"/>
    <xf numFmtId="0" fontId="39" fillId="0" borderId="10" xfId="0" applyFont="1" applyBorder="1"/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5" fontId="2" fillId="0" borderId="7" xfId="0" applyNumberFormat="1" applyFont="1" applyBorder="1"/>
    <xf numFmtId="0" fontId="41" fillId="0" borderId="11" xfId="0" applyFont="1" applyBorder="1"/>
    <xf numFmtId="0" fontId="41" fillId="0" borderId="10" xfId="0" applyFont="1" applyBorder="1"/>
    <xf numFmtId="0" fontId="41" fillId="0" borderId="0" xfId="0" applyFont="1" applyBorder="1"/>
    <xf numFmtId="0" fontId="41" fillId="0" borderId="0" xfId="0" applyFont="1" applyBorder="1" applyAlignment="1">
      <alignment horizontal="left" vertical="center"/>
    </xf>
    <xf numFmtId="165" fontId="41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7" xfId="0" applyFont="1" applyBorder="1"/>
    <xf numFmtId="0" fontId="41" fillId="0" borderId="12" xfId="0" applyFont="1" applyBorder="1"/>
    <xf numFmtId="0" fontId="41" fillId="0" borderId="14" xfId="0" applyFont="1" applyBorder="1"/>
    <xf numFmtId="0" fontId="41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0" fontId="37" fillId="0" borderId="7" xfId="0" applyFont="1" applyBorder="1"/>
    <xf numFmtId="165" fontId="2" fillId="0" borderId="0" xfId="0" applyNumberFormat="1" applyFont="1" applyBorder="1"/>
    <xf numFmtId="0" fontId="36" fillId="0" borderId="11" xfId="0" applyFont="1" applyBorder="1" applyAlignment="1">
      <alignment horizontal="center" vertical="center"/>
    </xf>
    <xf numFmtId="0" fontId="41" fillId="0" borderId="11" xfId="0" applyFont="1" applyFill="1" applyBorder="1"/>
    <xf numFmtId="4" fontId="40" fillId="0" borderId="13" xfId="0" applyNumberFormat="1" applyFont="1" applyFill="1" applyBorder="1"/>
    <xf numFmtId="0" fontId="41" fillId="0" borderId="13" xfId="0" applyFont="1" applyFill="1" applyBorder="1"/>
    <xf numFmtId="0" fontId="41" fillId="0" borderId="21" xfId="0" applyFont="1" applyBorder="1"/>
    <xf numFmtId="0" fontId="2" fillId="0" borderId="13" xfId="0" applyFont="1" applyBorder="1"/>
    <xf numFmtId="165" fontId="2" fillId="0" borderId="13" xfId="0" applyNumberFormat="1" applyFont="1" applyBorder="1"/>
    <xf numFmtId="0" fontId="41" fillId="0" borderId="13" xfId="0" applyFont="1" applyFill="1" applyBorder="1" applyAlignment="1">
      <alignment horizontal="center"/>
    </xf>
    <xf numFmtId="0" fontId="41" fillId="0" borderId="19" xfId="0" applyFont="1" applyBorder="1"/>
    <xf numFmtId="0" fontId="41" fillId="0" borderId="18" xfId="0" applyFont="1" applyBorder="1"/>
    <xf numFmtId="0" fontId="41" fillId="0" borderId="17" xfId="0" applyFont="1" applyBorder="1"/>
    <xf numFmtId="0" fontId="29" fillId="0" borderId="11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Border="1" applyAlignment="1">
      <alignment horizontal="center"/>
    </xf>
    <xf numFmtId="0" fontId="35" fillId="0" borderId="0" xfId="0" applyFont="1" applyBorder="1"/>
    <xf numFmtId="3" fontId="0" fillId="0" borderId="22" xfId="0" applyNumberFormat="1" applyBorder="1" applyAlignment="1">
      <alignment horizontal="right"/>
    </xf>
    <xf numFmtId="2" fontId="8" fillId="0" borderId="20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/>
    </xf>
    <xf numFmtId="165" fontId="8" fillId="0" borderId="9" xfId="0" applyNumberFormat="1" applyFont="1" applyFill="1" applyBorder="1"/>
    <xf numFmtId="2" fontId="8" fillId="0" borderId="23" xfId="0" applyNumberFormat="1" applyFont="1" applyFill="1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7" fillId="0" borderId="25" xfId="0" applyFont="1" applyFill="1" applyBorder="1" applyAlignment="1">
      <alignment horizontal="center" vertical="center"/>
    </xf>
    <xf numFmtId="0" fontId="8" fillId="0" borderId="24" xfId="0" applyFont="1" applyFill="1" applyBorder="1"/>
    <xf numFmtId="0" fontId="8" fillId="0" borderId="25" xfId="0" applyFont="1" applyFill="1" applyBorder="1"/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64" fontId="26" fillId="0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/>
    <xf numFmtId="0" fontId="8" fillId="0" borderId="28" xfId="0" applyFont="1" applyFill="1" applyBorder="1"/>
    <xf numFmtId="165" fontId="8" fillId="0" borderId="20" xfId="0" applyNumberFormat="1" applyFont="1" applyFill="1" applyBorder="1" applyAlignment="1">
      <alignment horizontal="right"/>
    </xf>
    <xf numFmtId="165" fontId="8" fillId="0" borderId="23" xfId="0" applyNumberFormat="1" applyFont="1" applyFill="1" applyBorder="1" applyAlignment="1">
      <alignment horizontal="right"/>
    </xf>
    <xf numFmtId="2" fontId="0" fillId="0" borderId="29" xfId="0" applyNumberFormat="1" applyBorder="1" applyAlignment="1">
      <alignment horizontal="center"/>
    </xf>
    <xf numFmtId="2" fontId="8" fillId="0" borderId="30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164" fontId="0" fillId="0" borderId="0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5" fontId="45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166" fontId="0" fillId="0" borderId="9" xfId="0" applyNumberForma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32" xfId="0" applyFont="1" applyFill="1" applyBorder="1"/>
    <xf numFmtId="0" fontId="14" fillId="0" borderId="0" xfId="0" applyFont="1" applyBorder="1" applyAlignment="1"/>
    <xf numFmtId="7" fontId="6" fillId="0" borderId="9" xfId="0" applyNumberFormat="1" applyFont="1" applyFill="1" applyBorder="1"/>
    <xf numFmtId="10" fontId="0" fillId="0" borderId="9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4" fontId="0" fillId="0" borderId="33" xfId="0" applyNumberFormat="1" applyFill="1" applyBorder="1" applyAlignment="1">
      <alignment horizontal="left"/>
    </xf>
    <xf numFmtId="0" fontId="46" fillId="0" borderId="9" xfId="0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48" fillId="0" borderId="0" xfId="0" applyFont="1"/>
    <xf numFmtId="0" fontId="48" fillId="0" borderId="0" xfId="0" quotePrefix="1" applyFont="1"/>
    <xf numFmtId="164" fontId="0" fillId="0" borderId="9" xfId="0" applyNumberFormat="1" applyFill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Border="1"/>
    <xf numFmtId="0" fontId="6" fillId="0" borderId="0" xfId="0" applyFont="1" applyFill="1" applyBorder="1" applyAlignment="1">
      <alignment horizontal="center"/>
    </xf>
    <xf numFmtId="4" fontId="26" fillId="0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13" xfId="0" applyFont="1" applyBorder="1"/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9" xfId="0" applyNumberForma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164" fontId="13" fillId="0" borderId="0" xfId="0" applyNumberFormat="1" applyFont="1" applyBorder="1" applyAlignment="1">
      <alignment horizontal="center"/>
    </xf>
    <xf numFmtId="165" fontId="8" fillId="0" borderId="34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8" fillId="0" borderId="0" xfId="0" applyFont="1" applyBorder="1" applyAlignment="1"/>
    <xf numFmtId="2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5" fontId="11" fillId="0" borderId="35" xfId="0" applyNumberFormat="1" applyFont="1" applyBorder="1" applyAlignment="1">
      <alignment horizontal="right"/>
    </xf>
    <xf numFmtId="0" fontId="25" fillId="2" borderId="36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0" fillId="4" borderId="38" xfId="0" applyFill="1" applyBorder="1" applyAlignment="1"/>
    <xf numFmtId="0" fontId="0" fillId="4" borderId="25" xfId="0" applyFill="1" applyBorder="1" applyAlignment="1"/>
    <xf numFmtId="0" fontId="0" fillId="4" borderId="28" xfId="0" applyFill="1" applyBorder="1"/>
    <xf numFmtId="2" fontId="6" fillId="0" borderId="0" xfId="0" applyNumberFormat="1" applyFont="1" applyBorder="1"/>
    <xf numFmtId="164" fontId="8" fillId="0" borderId="0" xfId="0" applyNumberFormat="1" applyFont="1" applyBorder="1"/>
    <xf numFmtId="4" fontId="8" fillId="0" borderId="0" xfId="0" applyNumberFormat="1" applyFont="1" applyBorder="1"/>
    <xf numFmtId="165" fontId="6" fillId="0" borderId="0" xfId="0" applyNumberFormat="1" applyFont="1" applyBorder="1"/>
    <xf numFmtId="165" fontId="2" fillId="4" borderId="9" xfId="0" applyNumberFormat="1" applyFont="1" applyFill="1" applyBorder="1" applyAlignment="1">
      <alignment horizontal="center" vertical="center"/>
    </xf>
    <xf numFmtId="165" fontId="39" fillId="5" borderId="9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57" fillId="0" borderId="0" xfId="0" applyFont="1" applyBorder="1" applyAlignment="1"/>
    <xf numFmtId="0" fontId="13" fillId="0" borderId="0" xfId="0" applyFont="1" applyAlignment="1"/>
    <xf numFmtId="2" fontId="6" fillId="0" borderId="7" xfId="0" applyNumberFormat="1" applyFont="1" applyFill="1" applyBorder="1" applyAlignment="1">
      <alignment horizontal="right"/>
    </xf>
    <xf numFmtId="165" fontId="62" fillId="0" borderId="23" xfId="0" applyNumberFormat="1" applyFont="1" applyFill="1" applyBorder="1" applyAlignment="1">
      <alignment horizontal="right"/>
    </xf>
    <xf numFmtId="167" fontId="62" fillId="0" borderId="39" xfId="0" applyNumberFormat="1" applyFont="1" applyFill="1" applyBorder="1" applyAlignment="1">
      <alignment horizontal="right"/>
    </xf>
    <xf numFmtId="165" fontId="6" fillId="6" borderId="22" xfId="0" applyNumberFormat="1" applyFont="1" applyFill="1" applyBorder="1" applyAlignment="1">
      <alignment horizontal="right"/>
    </xf>
    <xf numFmtId="169" fontId="56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7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/>
    </xf>
    <xf numFmtId="165" fontId="8" fillId="0" borderId="35" xfId="0" applyNumberFormat="1" applyFont="1" applyBorder="1" applyAlignment="1">
      <alignment horizontal="center" vertical="center"/>
    </xf>
    <xf numFmtId="165" fontId="8" fillId="0" borderId="55" xfId="0" applyNumberFormat="1" applyFont="1" applyBorder="1" applyAlignment="1">
      <alignment horizontal="center" vertical="center"/>
    </xf>
    <xf numFmtId="165" fontId="8" fillId="0" borderId="56" xfId="0" applyNumberFormat="1" applyFont="1" applyBorder="1" applyAlignment="1">
      <alignment horizontal="center" vertical="center"/>
    </xf>
    <xf numFmtId="10" fontId="8" fillId="0" borderId="35" xfId="0" applyNumberFormat="1" applyFont="1" applyBorder="1" applyAlignment="1">
      <alignment horizontal="center" vertical="center"/>
    </xf>
    <xf numFmtId="10" fontId="8" fillId="0" borderId="55" xfId="0" applyNumberFormat="1" applyFont="1" applyBorder="1" applyAlignment="1">
      <alignment horizontal="center" vertical="center"/>
    </xf>
    <xf numFmtId="10" fontId="8" fillId="0" borderId="57" xfId="0" applyNumberFormat="1" applyFont="1" applyBorder="1" applyAlignment="1"/>
    <xf numFmtId="0" fontId="8" fillId="0" borderId="57" xfId="0" applyFont="1" applyBorder="1" applyAlignment="1"/>
    <xf numFmtId="0" fontId="11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8" fillId="0" borderId="64" xfId="0" applyFont="1" applyBorder="1" applyAlignment="1"/>
    <xf numFmtId="0" fontId="11" fillId="2" borderId="36" xfId="0" applyFont="1" applyFill="1" applyBorder="1" applyAlignment="1">
      <alignment horizontal="center" vertical="center"/>
    </xf>
    <xf numFmtId="0" fontId="8" fillId="0" borderId="59" xfId="0" applyFont="1" applyBorder="1" applyAlignment="1"/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1" xfId="0" applyFont="1" applyBorder="1" applyAlignment="1"/>
    <xf numFmtId="2" fontId="8" fillId="0" borderId="32" xfId="0" applyNumberFormat="1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7" xfId="0" applyFont="1" applyFill="1" applyBorder="1" applyAlignment="1"/>
    <xf numFmtId="0" fontId="34" fillId="0" borderId="0" xfId="0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29" xfId="0" applyFont="1" applyBorder="1" applyAlignment="1"/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/>
    <xf numFmtId="0" fontId="0" fillId="0" borderId="27" xfId="0" applyBorder="1" applyAlignment="1"/>
    <xf numFmtId="0" fontId="16" fillId="0" borderId="0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165" fontId="8" fillId="0" borderId="6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61" xfId="0" applyFont="1" applyBorder="1" applyAlignment="1"/>
    <xf numFmtId="165" fontId="8" fillId="0" borderId="20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0" fontId="8" fillId="0" borderId="58" xfId="0" applyFont="1" applyBorder="1" applyAlignment="1"/>
    <xf numFmtId="0" fontId="8" fillId="0" borderId="5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0" xfId="0" applyFont="1" applyBorder="1" applyAlignment="1"/>
    <xf numFmtId="0" fontId="0" fillId="0" borderId="0" xfId="0" applyBorder="1" applyAlignment="1">
      <alignment horizontal="right" vertical="center"/>
    </xf>
    <xf numFmtId="165" fontId="6" fillId="0" borderId="70" xfId="0" applyNumberFormat="1" applyFont="1" applyFill="1" applyBorder="1" applyAlignment="1">
      <alignment horizontal="center" vertical="center"/>
    </xf>
    <xf numFmtId="165" fontId="6" fillId="0" borderId="7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/>
    <xf numFmtId="0" fontId="3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7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72" xfId="0" applyBorder="1" applyAlignment="1">
      <alignment horizontal="left" wrapText="1"/>
    </xf>
    <xf numFmtId="7" fontId="0" fillId="3" borderId="70" xfId="0" applyNumberFormat="1" applyFill="1" applyBorder="1" applyAlignment="1">
      <alignment horizontal="center" vertical="center"/>
    </xf>
    <xf numFmtId="7" fontId="0" fillId="3" borderId="71" xfId="0" applyNumberFormat="1" applyFill="1" applyBorder="1" applyAlignment="1">
      <alignment horizontal="center" vertical="center"/>
    </xf>
    <xf numFmtId="0" fontId="12" fillId="0" borderId="73" xfId="0" applyFont="1" applyBorder="1" applyAlignment="1">
      <alignment horizontal="left" vertical="center"/>
    </xf>
    <xf numFmtId="165" fontId="0" fillId="3" borderId="67" xfId="0" applyNumberFormat="1" applyFill="1" applyBorder="1" applyAlignment="1">
      <alignment horizontal="center" vertical="center"/>
    </xf>
    <xf numFmtId="165" fontId="0" fillId="3" borderId="1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0" fillId="0" borderId="0" xfId="0" applyFont="1" applyBorder="1" applyAlignment="1"/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166" fontId="0" fillId="3" borderId="67" xfId="0" applyNumberFormat="1" applyFill="1" applyBorder="1" applyAlignment="1">
      <alignment horizontal="center" vertical="center"/>
    </xf>
    <xf numFmtId="166" fontId="0" fillId="3" borderId="68" xfId="0" applyNumberFormat="1" applyFill="1" applyBorder="1" applyAlignment="1">
      <alignment horizontal="center" vertical="center"/>
    </xf>
    <xf numFmtId="0" fontId="59" fillId="0" borderId="66" xfId="0" applyFont="1" applyBorder="1" applyAlignment="1">
      <alignment horizontal="center"/>
    </xf>
    <xf numFmtId="0" fontId="59" fillId="0" borderId="0" xfId="0" applyFont="1" applyAlignment="1">
      <alignment horizontal="center"/>
    </xf>
    <xf numFmtId="164" fontId="10" fillId="3" borderId="67" xfId="0" applyNumberFormat="1" applyFont="1" applyFill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5" fontId="10" fillId="3" borderId="67" xfId="0" applyNumberFormat="1" applyFont="1" applyFill="1" applyBorder="1" applyAlignment="1">
      <alignment horizontal="center" vertical="center"/>
    </xf>
    <xf numFmtId="165" fontId="10" fillId="3" borderId="16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2" fontId="57" fillId="0" borderId="1" xfId="0" applyNumberFormat="1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7" fillId="0" borderId="1" xfId="0" applyFont="1" applyFill="1" applyBorder="1" applyAlignment="1">
      <alignment horizontal="center"/>
    </xf>
    <xf numFmtId="0" fontId="61" fillId="0" borderId="1" xfId="0" applyFont="1" applyBorder="1" applyAlignment="1"/>
    <xf numFmtId="0" fontId="57" fillId="0" borderId="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165" fontId="39" fillId="5" borderId="9" xfId="0" applyNumberFormat="1" applyFont="1" applyFill="1" applyBorder="1" applyAlignment="1">
      <alignment horizontal="center" vertical="center"/>
    </xf>
    <xf numFmtId="0" fontId="39" fillId="5" borderId="9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2" fillId="0" borderId="20" xfId="0" applyFont="1" applyBorder="1" applyAlignment="1"/>
    <xf numFmtId="0" fontId="2" fillId="0" borderId="7" xfId="0" applyFont="1" applyBorder="1" applyAlignment="1"/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Border="1" applyAlignment="1"/>
    <xf numFmtId="0" fontId="2" fillId="0" borderId="0" xfId="0" applyFont="1" applyBorder="1" applyAlignment="1"/>
    <xf numFmtId="0" fontId="42" fillId="0" borderId="1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0" fillId="0" borderId="7" xfId="0" applyBorder="1" applyAlignment="1"/>
    <xf numFmtId="0" fontId="0" fillId="0" borderId="30" xfId="0" applyBorder="1" applyAlignment="1"/>
    <xf numFmtId="0" fontId="6" fillId="0" borderId="0" xfId="0" applyFont="1" applyFill="1" applyBorder="1" applyAlignment="1">
      <alignment horizontal="center"/>
    </xf>
    <xf numFmtId="0" fontId="58" fillId="0" borderId="66" xfId="0" applyFont="1" applyFill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10" fontId="52" fillId="0" borderId="1" xfId="0" applyNumberFormat="1" applyFont="1" applyFill="1" applyBorder="1" applyAlignment="1">
      <alignment horizontal="center"/>
    </xf>
    <xf numFmtId="0" fontId="53" fillId="0" borderId="76" xfId="0" applyFont="1" applyBorder="1" applyAlignment="1"/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12" fillId="0" borderId="24" xfId="0" applyFont="1" applyBorder="1" applyAlignment="1"/>
    <xf numFmtId="0" fontId="0" fillId="0" borderId="24" xfId="0" applyBorder="1" applyAlignment="1"/>
    <xf numFmtId="0" fontId="2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left"/>
    </xf>
    <xf numFmtId="0" fontId="44" fillId="0" borderId="75" xfId="0" applyFont="1" applyFill="1" applyBorder="1" applyAlignment="1">
      <alignment horizontal="left"/>
    </xf>
    <xf numFmtId="0" fontId="44" fillId="0" borderId="38" xfId="0" applyFont="1" applyFill="1" applyBorder="1" applyAlignment="1">
      <alignment horizontal="left"/>
    </xf>
    <xf numFmtId="0" fontId="44" fillId="0" borderId="74" xfId="0" applyFont="1" applyFill="1" applyBorder="1" applyAlignment="1">
      <alignment horizontal="left" vertical="center"/>
    </xf>
    <xf numFmtId="0" fontId="44" fillId="0" borderId="75" xfId="0" applyFont="1" applyFill="1" applyBorder="1" applyAlignment="1">
      <alignment horizontal="left" vertical="center"/>
    </xf>
    <xf numFmtId="0" fontId="44" fillId="0" borderId="38" xfId="0" applyFont="1" applyFill="1" applyBorder="1" applyAlignment="1">
      <alignment horizontal="left" vertical="center"/>
    </xf>
    <xf numFmtId="4" fontId="11" fillId="0" borderId="20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10" fontId="8" fillId="0" borderId="9" xfId="0" applyNumberFormat="1" applyFont="1" applyFill="1" applyBorder="1" applyAlignment="1">
      <alignment horizontal="center" vertical="center"/>
    </xf>
    <xf numFmtId="164" fontId="26" fillId="0" borderId="9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0" fontId="25" fillId="2" borderId="77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3" fillId="0" borderId="30" xfId="0" applyFont="1" applyFill="1" applyBorder="1" applyAlignment="1"/>
    <xf numFmtId="165" fontId="50" fillId="4" borderId="75" xfId="0" applyNumberFormat="1" applyFont="1" applyFill="1" applyBorder="1" applyAlignment="1">
      <alignment horizontal="right" vertical="center"/>
    </xf>
    <xf numFmtId="165" fontId="50" fillId="4" borderId="0" xfId="0" applyNumberFormat="1" applyFont="1" applyFill="1" applyBorder="1" applyAlignment="1">
      <alignment horizontal="right" vertical="center"/>
    </xf>
    <xf numFmtId="0" fontId="49" fillId="4" borderId="27" xfId="0" applyFont="1" applyFill="1" applyBorder="1" applyAlignment="1">
      <alignment horizontal="right"/>
    </xf>
    <xf numFmtId="0" fontId="6" fillId="4" borderId="7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0" fillId="4" borderId="27" xfId="0" applyFill="1" applyBorder="1" applyAlignment="1">
      <alignment horizontal="left"/>
    </xf>
    <xf numFmtId="4" fontId="11" fillId="7" borderId="20" xfId="0" applyNumberFormat="1" applyFont="1" applyFill="1" applyBorder="1" applyAlignment="1">
      <alignment horizontal="center"/>
    </xf>
    <xf numFmtId="0" fontId="8" fillId="7" borderId="30" xfId="0" applyFont="1" applyFill="1" applyBorder="1" applyAlignment="1"/>
    <xf numFmtId="0" fontId="25" fillId="2" borderId="36" xfId="0" applyFont="1" applyFill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2" borderId="74" xfId="0" applyFont="1" applyFill="1" applyBorder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wrapText="1"/>
    </xf>
    <xf numFmtId="0" fontId="17" fillId="2" borderId="27" xfId="0" applyFont="1" applyFill="1" applyBorder="1" applyAlignment="1">
      <alignment horizontal="center" wrapText="1"/>
    </xf>
    <xf numFmtId="0" fontId="25" fillId="2" borderId="77" xfId="0" applyFont="1" applyFill="1" applyBorder="1" applyAlignment="1">
      <alignment horizontal="center" vertical="center"/>
    </xf>
    <xf numFmtId="0" fontId="0" fillId="0" borderId="78" xfId="0" applyBorder="1" applyAlignment="1"/>
    <xf numFmtId="0" fontId="0" fillId="0" borderId="79" xfId="0" applyBorder="1" applyAlignment="1"/>
    <xf numFmtId="0" fontId="18" fillId="6" borderId="22" xfId="0" applyFont="1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65" fontId="63" fillId="8" borderId="22" xfId="0" applyNumberFormat="1" applyFont="1" applyFill="1" applyBorder="1" applyAlignment="1">
      <alignment horizontal="right"/>
    </xf>
    <xf numFmtId="0" fontId="0" fillId="8" borderId="49" xfId="0" applyFill="1" applyBorder="1" applyAlignment="1"/>
    <xf numFmtId="0" fontId="0" fillId="8" borderId="29" xfId="0" applyFill="1" applyBorder="1" applyAlignment="1"/>
    <xf numFmtId="0" fontId="66" fillId="0" borderId="24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5" fillId="0" borderId="25" xfId="0" applyFont="1" applyBorder="1" applyAlignment="1">
      <alignment horizontal="left" vertical="center"/>
    </xf>
    <xf numFmtId="4" fontId="11" fillId="0" borderId="60" xfId="0" applyNumberFormat="1" applyFont="1" applyFill="1" applyBorder="1" applyAlignment="1">
      <alignment horizontal="center"/>
    </xf>
    <xf numFmtId="0" fontId="8" fillId="0" borderId="76" xfId="0" applyFont="1" applyBorder="1" applyAlignment="1"/>
    <xf numFmtId="0" fontId="15" fillId="9" borderId="33" xfId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/>
    <xf numFmtId="0" fontId="0" fillId="0" borderId="33" xfId="0" applyBorder="1" applyAlignment="1">
      <alignment horizontal="right"/>
    </xf>
    <xf numFmtId="0" fontId="0" fillId="0" borderId="33" xfId="0" applyBorder="1" applyAlignment="1"/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</cellXfs>
  <cellStyles count="2">
    <cellStyle name="Headline" xfId="1"/>
    <cellStyle name="Normal" xfId="0" builtinId="0"/>
  </cellStyles>
  <dxfs count="8">
    <dxf>
      <font>
        <condense val="0"/>
        <extend val="0"/>
        <color indexed="17"/>
      </font>
      <fill>
        <patternFill patternType="solid">
          <bgColor indexed="9"/>
        </patternFill>
      </fill>
    </dxf>
    <dxf>
      <font>
        <condense val="0"/>
        <extend val="0"/>
        <color indexed="10"/>
      </font>
    </dxf>
    <dxf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workbookViewId="0">
      <selection activeCell="A11" sqref="A11"/>
    </sheetView>
  </sheetViews>
  <sheetFormatPr defaultRowHeight="15"/>
  <cols>
    <col min="1" max="1" width="3" style="156" customWidth="1"/>
    <col min="2" max="16384" width="9.140625" style="156"/>
  </cols>
  <sheetData>
    <row r="1" spans="1:10" ht="15.75">
      <c r="A1" s="208" t="s">
        <v>132</v>
      </c>
      <c r="B1" s="208"/>
      <c r="C1" s="208"/>
      <c r="D1" s="208"/>
      <c r="E1" s="208"/>
      <c r="F1" s="208"/>
      <c r="G1" s="208"/>
      <c r="H1" s="208"/>
      <c r="I1" s="208"/>
      <c r="J1" s="208"/>
    </row>
    <row r="3" spans="1:10">
      <c r="A3" s="157" t="s">
        <v>133</v>
      </c>
      <c r="B3" s="156" t="s">
        <v>134</v>
      </c>
    </row>
    <row r="5" spans="1:10">
      <c r="A5" s="157" t="s">
        <v>135</v>
      </c>
      <c r="B5" s="156" t="s">
        <v>136</v>
      </c>
    </row>
    <row r="7" spans="1:10">
      <c r="A7" s="157" t="s">
        <v>137</v>
      </c>
      <c r="B7" s="156" t="s">
        <v>140</v>
      </c>
    </row>
    <row r="9" spans="1:10">
      <c r="A9" s="157" t="s">
        <v>138</v>
      </c>
      <c r="B9" s="156" t="s">
        <v>141</v>
      </c>
    </row>
    <row r="11" spans="1:10">
      <c r="A11" s="157"/>
    </row>
  </sheetData>
  <mergeCells count="1">
    <mergeCell ref="A1:J1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zoomScaleNormal="100" workbookViewId="0">
      <selection activeCell="E19" sqref="E19"/>
    </sheetView>
  </sheetViews>
  <sheetFormatPr defaultRowHeight="12.75"/>
  <cols>
    <col min="2" max="2" width="11.5703125" customWidth="1"/>
    <col min="7" max="7" width="10.7109375" customWidth="1"/>
  </cols>
  <sheetData>
    <row r="1" spans="1:9" ht="13.5" thickTop="1">
      <c r="A1" s="209" t="s">
        <v>70</v>
      </c>
      <c r="B1" s="210"/>
      <c r="C1" s="210"/>
      <c r="D1" s="210"/>
      <c r="E1" s="210"/>
      <c r="F1" s="210"/>
      <c r="G1" s="210"/>
      <c r="H1" s="210"/>
      <c r="I1" s="211"/>
    </row>
    <row r="2" spans="1:9" ht="13.5" thickBot="1">
      <c r="A2" s="212"/>
      <c r="B2" s="213"/>
      <c r="C2" s="213"/>
      <c r="D2" s="213"/>
      <c r="E2" s="213"/>
      <c r="F2" s="213"/>
      <c r="G2" s="213"/>
      <c r="H2" s="213"/>
      <c r="I2" s="214"/>
    </row>
    <row r="3" spans="1:9">
      <c r="A3" s="220" t="s">
        <v>131</v>
      </c>
      <c r="B3" s="221"/>
      <c r="C3" s="221"/>
      <c r="D3" s="221"/>
      <c r="E3" s="221"/>
      <c r="F3" s="221"/>
      <c r="G3" s="221"/>
      <c r="H3" s="221"/>
      <c r="I3" s="222"/>
    </row>
    <row r="4" spans="1:9" ht="13.5" thickBot="1">
      <c r="A4" s="30"/>
      <c r="B4" s="31"/>
      <c r="C4" s="31"/>
      <c r="D4" s="31"/>
      <c r="E4" s="31"/>
      <c r="F4" s="31"/>
      <c r="G4" s="31"/>
      <c r="H4" s="31"/>
      <c r="I4" s="32"/>
    </row>
    <row r="5" spans="1:9" ht="34.5">
      <c r="A5" s="215" t="s">
        <v>0</v>
      </c>
      <c r="B5" s="216"/>
      <c r="C5" s="216" t="s">
        <v>1</v>
      </c>
      <c r="D5" s="216"/>
      <c r="E5" s="216"/>
      <c r="F5" s="14" t="s">
        <v>51</v>
      </c>
      <c r="G5" s="217" t="s">
        <v>2</v>
      </c>
      <c r="H5" s="218"/>
      <c r="I5" s="219"/>
    </row>
    <row r="6" spans="1:9">
      <c r="A6" s="224" t="s">
        <v>3</v>
      </c>
      <c r="B6" s="225"/>
      <c r="C6" s="223" t="s">
        <v>9</v>
      </c>
      <c r="D6" s="223"/>
      <c r="E6" s="223"/>
      <c r="F6" s="154">
        <v>83</v>
      </c>
      <c r="G6" s="155">
        <v>115000</v>
      </c>
      <c r="H6" s="223" t="s">
        <v>11</v>
      </c>
      <c r="I6" s="226"/>
    </row>
    <row r="7" spans="1:9">
      <c r="A7" s="224" t="s">
        <v>4</v>
      </c>
      <c r="B7" s="225"/>
      <c r="C7" s="223" t="s">
        <v>10</v>
      </c>
      <c r="D7" s="223"/>
      <c r="E7" s="223"/>
      <c r="F7" s="154">
        <v>77</v>
      </c>
      <c r="G7" s="155">
        <v>15400000</v>
      </c>
      <c r="H7" s="223" t="s">
        <v>12</v>
      </c>
      <c r="I7" s="226"/>
    </row>
    <row r="8" spans="1:9">
      <c r="A8" s="224" t="s">
        <v>5</v>
      </c>
      <c r="B8" s="225"/>
      <c r="C8" s="223" t="s">
        <v>7</v>
      </c>
      <c r="D8" s="223"/>
      <c r="E8" s="223"/>
      <c r="F8" s="154">
        <v>98</v>
      </c>
      <c r="G8" s="155">
        <v>3340</v>
      </c>
      <c r="H8" s="223" t="s">
        <v>13</v>
      </c>
      <c r="I8" s="226"/>
    </row>
    <row r="9" spans="1:9">
      <c r="A9" s="224" t="s">
        <v>6</v>
      </c>
      <c r="B9" s="225"/>
      <c r="C9" s="223" t="s">
        <v>8</v>
      </c>
      <c r="D9" s="223"/>
      <c r="E9" s="223"/>
      <c r="F9" s="154">
        <v>83</v>
      </c>
      <c r="G9" s="155">
        <v>13600000</v>
      </c>
      <c r="H9" s="223" t="s">
        <v>14</v>
      </c>
      <c r="I9" s="226"/>
    </row>
    <row r="10" spans="1:9" ht="13.5">
      <c r="A10" s="224" t="s">
        <v>130</v>
      </c>
      <c r="B10" s="225"/>
      <c r="C10" s="223" t="s">
        <v>37</v>
      </c>
      <c r="D10" s="223"/>
      <c r="E10" s="223"/>
      <c r="F10" s="154">
        <v>80</v>
      </c>
      <c r="G10" s="155">
        <v>20000000</v>
      </c>
      <c r="H10" s="223" t="s">
        <v>14</v>
      </c>
      <c r="I10" s="226"/>
    </row>
    <row r="11" spans="1:9">
      <c r="A11" s="224" t="s">
        <v>142</v>
      </c>
      <c r="B11" s="230"/>
      <c r="C11" s="223" t="s">
        <v>143</v>
      </c>
      <c r="D11" s="223"/>
      <c r="E11" s="223"/>
      <c r="F11" s="154">
        <v>79</v>
      </c>
      <c r="G11" s="155">
        <v>72000</v>
      </c>
      <c r="H11" s="223" t="s">
        <v>11</v>
      </c>
      <c r="I11" s="226"/>
    </row>
    <row r="12" spans="1:9">
      <c r="A12" s="1"/>
      <c r="B12" s="2"/>
      <c r="C12" s="2"/>
      <c r="D12" s="2"/>
      <c r="E12" s="2"/>
      <c r="F12" s="2"/>
      <c r="G12" s="2"/>
      <c r="H12" s="2"/>
      <c r="I12" s="3"/>
    </row>
    <row r="13" spans="1:9" ht="14.25">
      <c r="A13" s="227" t="s">
        <v>52</v>
      </c>
      <c r="B13" s="228"/>
      <c r="C13" s="228"/>
      <c r="D13" s="228"/>
      <c r="E13" s="228"/>
      <c r="F13" s="228"/>
      <c r="G13" s="228"/>
      <c r="H13" s="228"/>
      <c r="I13" s="229"/>
    </row>
    <row r="14" spans="1:9" ht="14.25">
      <c r="A14" s="227" t="s">
        <v>53</v>
      </c>
      <c r="B14" s="228"/>
      <c r="C14" s="228"/>
      <c r="D14" s="228"/>
      <c r="E14" s="228"/>
      <c r="F14" s="228"/>
      <c r="G14" s="228"/>
      <c r="H14" s="228"/>
      <c r="I14" s="229"/>
    </row>
    <row r="15" spans="1:9" ht="14.25">
      <c r="A15" s="227" t="s">
        <v>54</v>
      </c>
      <c r="B15" s="228"/>
      <c r="C15" s="228"/>
      <c r="D15" s="228"/>
      <c r="E15" s="228"/>
      <c r="F15" s="228"/>
      <c r="G15" s="228"/>
      <c r="H15" s="228"/>
      <c r="I15" s="229"/>
    </row>
    <row r="16" spans="1:9">
      <c r="A16" s="1"/>
      <c r="B16" s="2"/>
      <c r="C16" s="2"/>
      <c r="D16" s="2"/>
      <c r="E16" s="2"/>
      <c r="F16" s="2"/>
      <c r="G16" s="2"/>
      <c r="H16" s="2"/>
      <c r="I16" s="3"/>
    </row>
    <row r="17" spans="1:9">
      <c r="A17" s="1"/>
      <c r="B17" s="2"/>
      <c r="C17" s="2"/>
      <c r="D17" s="2"/>
      <c r="E17" s="2"/>
      <c r="F17" s="2"/>
      <c r="G17" s="2"/>
      <c r="H17" s="2"/>
      <c r="I17" s="3"/>
    </row>
    <row r="18" spans="1:9">
      <c r="A18" s="1"/>
      <c r="B18" s="2"/>
      <c r="C18" s="2"/>
      <c r="D18" s="2"/>
      <c r="E18" s="2"/>
      <c r="F18" s="2"/>
      <c r="G18" s="2"/>
      <c r="H18" s="2"/>
      <c r="I18" s="3"/>
    </row>
    <row r="19" spans="1:9">
      <c r="A19" s="1"/>
      <c r="B19" s="2"/>
      <c r="C19" s="2"/>
      <c r="D19" s="2"/>
      <c r="E19" s="24">
        <f>(((G6*2000)/G9))*((FUELS!$I$17)/2000)</f>
        <v>2.0294117647058822</v>
      </c>
      <c r="F19" s="2"/>
      <c r="G19" s="2"/>
      <c r="H19" s="2"/>
      <c r="I19" s="3"/>
    </row>
    <row r="20" spans="1:9">
      <c r="A20" s="1"/>
      <c r="B20" s="2"/>
      <c r="C20" s="2"/>
      <c r="D20" s="2"/>
      <c r="E20" s="2"/>
      <c r="F20" s="2"/>
      <c r="G20" s="2"/>
      <c r="H20" s="2"/>
      <c r="I20" s="3"/>
    </row>
    <row r="21" spans="1:9">
      <c r="A21" s="1"/>
      <c r="B21" s="2"/>
      <c r="C21" s="2"/>
      <c r="D21" s="2"/>
      <c r="E21" s="2"/>
      <c r="F21" s="2"/>
      <c r="G21" s="2"/>
      <c r="H21" s="2"/>
      <c r="I21" s="3"/>
    </row>
    <row r="22" spans="1:9">
      <c r="A22" s="1"/>
      <c r="B22" s="2"/>
      <c r="C22" s="2"/>
      <c r="D22" s="2"/>
      <c r="E22" s="2"/>
      <c r="F22" s="2"/>
      <c r="G22" s="2"/>
      <c r="H22" s="2"/>
      <c r="I22" s="3"/>
    </row>
    <row r="23" spans="1:9">
      <c r="A23" s="1"/>
      <c r="B23" s="2"/>
      <c r="C23" s="2"/>
      <c r="D23" s="2"/>
      <c r="E23" s="2"/>
      <c r="F23" s="2"/>
      <c r="G23" s="2"/>
      <c r="H23" s="2"/>
      <c r="I23" s="3"/>
    </row>
    <row r="24" spans="1:9">
      <c r="A24" s="1"/>
      <c r="B24" s="2"/>
      <c r="C24" s="2"/>
      <c r="D24" s="2"/>
      <c r="E24" s="2"/>
      <c r="F24" s="2"/>
      <c r="G24" s="2"/>
      <c r="H24" s="2"/>
      <c r="I24" s="3"/>
    </row>
    <row r="25" spans="1:9">
      <c r="A25" s="1"/>
      <c r="B25" s="2"/>
      <c r="C25" s="2"/>
      <c r="D25" s="2"/>
      <c r="E25" s="2"/>
      <c r="F25" s="2"/>
      <c r="G25" s="2"/>
      <c r="H25" s="2"/>
      <c r="I25" s="3"/>
    </row>
    <row r="26" spans="1:9">
      <c r="A26" s="1"/>
      <c r="B26" s="2"/>
      <c r="C26" s="2"/>
      <c r="D26" s="2"/>
      <c r="E26" s="2"/>
      <c r="F26" s="2"/>
      <c r="G26" s="2"/>
      <c r="H26" s="2"/>
      <c r="I26" s="3"/>
    </row>
    <row r="27" spans="1:9">
      <c r="A27" s="1"/>
      <c r="B27" s="2"/>
      <c r="C27" s="2"/>
      <c r="D27" s="2"/>
      <c r="E27" s="2"/>
      <c r="F27" s="2"/>
      <c r="G27" s="2"/>
      <c r="H27" s="2"/>
      <c r="I27" s="3"/>
    </row>
    <row r="28" spans="1:9" ht="13.5" thickBot="1">
      <c r="A28" s="4"/>
      <c r="B28" s="5"/>
      <c r="C28" s="5"/>
      <c r="D28" s="5"/>
      <c r="E28" s="5"/>
      <c r="F28" s="5"/>
      <c r="G28" s="5"/>
      <c r="H28" s="5"/>
      <c r="I28" s="6"/>
    </row>
    <row r="29" spans="1:9" ht="13.5" thickTop="1"/>
  </sheetData>
  <mergeCells count="26">
    <mergeCell ref="A13:I13"/>
    <mergeCell ref="A14:I14"/>
    <mergeCell ref="A15:I15"/>
    <mergeCell ref="A11:B11"/>
    <mergeCell ref="C11:E11"/>
    <mergeCell ref="H11:I11"/>
    <mergeCell ref="H10:I10"/>
    <mergeCell ref="A10:B10"/>
    <mergeCell ref="C10:E10"/>
    <mergeCell ref="H6:I6"/>
    <mergeCell ref="H7:I7"/>
    <mergeCell ref="H8:I8"/>
    <mergeCell ref="H9:I9"/>
    <mergeCell ref="C6:E6"/>
    <mergeCell ref="C7:E7"/>
    <mergeCell ref="C8:E8"/>
    <mergeCell ref="A1:I2"/>
    <mergeCell ref="A5:B5"/>
    <mergeCell ref="C5:E5"/>
    <mergeCell ref="G5:I5"/>
    <mergeCell ref="A3:I3"/>
    <mergeCell ref="C9:E9"/>
    <mergeCell ref="A6:B6"/>
    <mergeCell ref="A7:B7"/>
    <mergeCell ref="A8:B8"/>
    <mergeCell ref="A9:B9"/>
  </mergeCells>
  <phoneticPr fontId="0" type="noConversion"/>
  <printOptions horizontalCentered="1" verticalCentered="1"/>
  <pageMargins left="0.75" right="0.75" top="1" bottom="1" header="0.5" footer="0.5"/>
  <pageSetup orientation="portrait" r:id="rId1"/>
  <headerFooter alignWithMargins="0">
    <oddFooter>&amp;L&amp;D&amp;C&amp;F&amp;R&amp;A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42"/>
  <sheetViews>
    <sheetView tabSelected="1" topLeftCell="A4" zoomScaleNormal="100" workbookViewId="0">
      <selection activeCell="G9" sqref="G9"/>
    </sheetView>
  </sheetViews>
  <sheetFormatPr defaultRowHeight="12.75"/>
  <cols>
    <col min="1" max="1" width="2.140625" customWidth="1"/>
    <col min="11" max="11" width="2" customWidth="1"/>
  </cols>
  <sheetData>
    <row r="1" spans="1:11" ht="8.25" customHeight="1" thickTop="1">
      <c r="A1" s="55"/>
      <c r="B1" s="54"/>
      <c r="C1" s="54"/>
      <c r="D1" s="54"/>
      <c r="E1" s="54"/>
      <c r="F1" s="54"/>
      <c r="G1" s="54"/>
      <c r="H1" s="54"/>
      <c r="I1" s="54"/>
      <c r="J1" s="54"/>
      <c r="K1" s="53"/>
    </row>
    <row r="2" spans="1:11">
      <c r="A2" s="16"/>
      <c r="B2" s="249" t="s">
        <v>15</v>
      </c>
      <c r="C2" s="249"/>
      <c r="D2" s="249"/>
      <c r="E2" s="249"/>
      <c r="F2" s="249"/>
      <c r="G2" s="249"/>
      <c r="H2" s="249"/>
      <c r="I2" s="249"/>
      <c r="J2" s="249"/>
      <c r="K2" s="17"/>
    </row>
    <row r="3" spans="1:11">
      <c r="A3" s="16"/>
      <c r="B3" s="249"/>
      <c r="C3" s="249"/>
      <c r="D3" s="249"/>
      <c r="E3" s="249"/>
      <c r="F3" s="249"/>
      <c r="G3" s="249"/>
      <c r="H3" s="249"/>
      <c r="I3" s="249"/>
      <c r="J3" s="249"/>
      <c r="K3" s="17"/>
    </row>
    <row r="4" spans="1:11">
      <c r="A4" s="16"/>
      <c r="B4" s="2"/>
      <c r="C4" s="2"/>
      <c r="D4" s="2"/>
      <c r="E4" s="2"/>
      <c r="F4" s="2"/>
      <c r="G4" s="2"/>
      <c r="H4" s="2"/>
      <c r="I4" s="2"/>
      <c r="J4" s="2"/>
      <c r="K4" s="17"/>
    </row>
    <row r="5" spans="1:11">
      <c r="A5" s="16"/>
      <c r="B5" s="2" t="s">
        <v>128</v>
      </c>
      <c r="C5" s="2"/>
      <c r="D5" s="2"/>
      <c r="E5" s="2"/>
      <c r="F5" s="2"/>
      <c r="G5" s="15">
        <f>(INPUT!$I$6)</f>
        <v>1000</v>
      </c>
      <c r="H5" s="2"/>
      <c r="I5" s="2"/>
      <c r="J5" s="2"/>
      <c r="K5" s="17"/>
    </row>
    <row r="6" spans="1:11">
      <c r="A6" s="16"/>
      <c r="B6" s="2"/>
      <c r="C6" s="2"/>
      <c r="D6" s="2"/>
      <c r="E6" s="2"/>
      <c r="F6" s="2"/>
      <c r="G6" s="2"/>
      <c r="H6" s="2"/>
      <c r="I6" s="2"/>
      <c r="J6" s="2"/>
      <c r="K6" s="17"/>
    </row>
    <row r="7" spans="1:11" ht="14.25">
      <c r="A7" s="16"/>
      <c r="B7" s="57" t="s">
        <v>139</v>
      </c>
      <c r="C7" s="138"/>
      <c r="D7" s="138"/>
      <c r="E7" s="138"/>
      <c r="F7" s="138"/>
      <c r="G7" s="158">
        <f>+INPUT!I8</f>
        <v>3.66</v>
      </c>
      <c r="H7" s="138"/>
      <c r="J7" s="146"/>
      <c r="K7" s="17"/>
    </row>
    <row r="8" spans="1:11">
      <c r="A8" s="16"/>
      <c r="B8" s="139"/>
      <c r="C8" s="139"/>
      <c r="D8" s="139"/>
      <c r="E8" s="139"/>
      <c r="F8" s="139"/>
      <c r="G8" s="139"/>
      <c r="H8" s="139"/>
      <c r="I8" s="140"/>
      <c r="J8" s="146"/>
      <c r="K8" s="17"/>
    </row>
    <row r="9" spans="1:11">
      <c r="A9" s="16"/>
      <c r="B9" s="2" t="s">
        <v>17</v>
      </c>
      <c r="C9" s="2"/>
      <c r="D9" s="2"/>
      <c r="E9" s="2"/>
      <c r="F9" s="2"/>
      <c r="G9" s="142">
        <f>(G5 *G7)</f>
        <v>3660</v>
      </c>
      <c r="H9" s="2"/>
      <c r="I9" s="2"/>
      <c r="J9" s="2"/>
      <c r="K9" s="17"/>
    </row>
    <row r="10" spans="1:11">
      <c r="A10" s="16"/>
      <c r="B10" s="2"/>
      <c r="C10" s="2"/>
      <c r="D10" s="2"/>
      <c r="E10" s="2"/>
      <c r="F10" s="2"/>
      <c r="G10" s="2"/>
      <c r="H10" s="2"/>
      <c r="I10" s="2"/>
      <c r="J10" s="2"/>
      <c r="K10" s="17"/>
    </row>
    <row r="11" spans="1:11">
      <c r="A11" s="16"/>
      <c r="B11" s="258" t="s">
        <v>33</v>
      </c>
      <c r="C11" s="258"/>
      <c r="D11" s="258"/>
      <c r="E11" s="258"/>
      <c r="F11" s="258"/>
      <c r="G11" s="258"/>
      <c r="H11" s="258"/>
      <c r="I11" s="258"/>
      <c r="J11" s="258"/>
      <c r="K11" s="17"/>
    </row>
    <row r="12" spans="1:11">
      <c r="A12" s="16"/>
      <c r="B12" s="258"/>
      <c r="C12" s="258"/>
      <c r="D12" s="258"/>
      <c r="E12" s="258"/>
      <c r="F12" s="258"/>
      <c r="G12" s="258"/>
      <c r="H12" s="258"/>
      <c r="I12" s="258"/>
      <c r="J12" s="258"/>
      <c r="K12" s="17"/>
    </row>
    <row r="13" spans="1:11" ht="12.75" customHeight="1">
      <c r="A13" s="16"/>
      <c r="B13" s="253" t="s">
        <v>99</v>
      </c>
      <c r="C13" s="253"/>
      <c r="D13" s="253"/>
      <c r="E13" s="253"/>
      <c r="F13" s="253"/>
      <c r="G13" s="253"/>
      <c r="H13" s="143"/>
      <c r="I13" s="49">
        <f>(INPUT!$I$15)</f>
        <v>210</v>
      </c>
      <c r="J13" s="34" t="s">
        <v>18</v>
      </c>
      <c r="K13" s="17"/>
    </row>
    <row r="14" spans="1:11">
      <c r="A14" s="16"/>
      <c r="B14" s="143"/>
      <c r="C14" s="143"/>
      <c r="D14" s="143"/>
      <c r="E14" s="143"/>
      <c r="F14" s="143"/>
      <c r="G14" s="143"/>
      <c r="H14" s="143"/>
      <c r="I14" s="144"/>
      <c r="J14" s="34"/>
      <c r="K14" s="17"/>
    </row>
    <row r="15" spans="1:11" ht="12.75" customHeight="1">
      <c r="A15" s="16"/>
      <c r="B15" s="253" t="s">
        <v>100</v>
      </c>
      <c r="C15" s="253"/>
      <c r="D15" s="253"/>
      <c r="E15" s="253"/>
      <c r="F15" s="253"/>
      <c r="G15" s="253"/>
      <c r="H15" s="253"/>
      <c r="I15" s="145">
        <f>(INPUT!$I$17)</f>
        <v>0.104</v>
      </c>
      <c r="J15" s="34" t="s">
        <v>19</v>
      </c>
      <c r="K15" s="17"/>
    </row>
    <row r="16" spans="1:11">
      <c r="A16" s="16"/>
      <c r="B16" s="141"/>
      <c r="C16" s="141"/>
      <c r="D16" s="141"/>
      <c r="E16" s="141"/>
      <c r="F16" s="141"/>
      <c r="G16" s="141"/>
      <c r="H16" s="141"/>
      <c r="I16" s="144"/>
      <c r="J16" s="34"/>
      <c r="K16" s="17"/>
    </row>
    <row r="17" spans="1:11" ht="12.75" customHeight="1">
      <c r="A17" s="16"/>
      <c r="B17" s="253" t="s">
        <v>101</v>
      </c>
      <c r="C17" s="253"/>
      <c r="D17" s="253"/>
      <c r="E17" s="253"/>
      <c r="F17" s="253"/>
      <c r="G17" s="253"/>
      <c r="H17" s="253"/>
      <c r="I17" s="49">
        <f>(INPUT!$I$19)</f>
        <v>240</v>
      </c>
      <c r="J17" s="34" t="s">
        <v>20</v>
      </c>
      <c r="K17" s="17"/>
    </row>
    <row r="18" spans="1:11">
      <c r="A18" s="16"/>
      <c r="B18" s="33"/>
      <c r="C18" s="33"/>
      <c r="D18" s="33"/>
      <c r="E18" s="33"/>
      <c r="F18" s="33"/>
      <c r="G18" s="33"/>
      <c r="H18" s="33"/>
      <c r="I18" s="144"/>
      <c r="J18" s="34"/>
      <c r="K18" s="17"/>
    </row>
    <row r="19" spans="1:11" ht="12.75" customHeight="1">
      <c r="A19" s="16"/>
      <c r="B19" s="253" t="s">
        <v>102</v>
      </c>
      <c r="C19" s="253"/>
      <c r="D19" s="253"/>
      <c r="E19" s="253"/>
      <c r="F19" s="253"/>
      <c r="G19" s="253"/>
      <c r="H19" s="253"/>
      <c r="I19" s="49">
        <f>(INPUT!$I$23)</f>
        <v>310</v>
      </c>
      <c r="J19" s="34" t="s">
        <v>20</v>
      </c>
      <c r="K19" s="17"/>
    </row>
    <row r="20" spans="1:11">
      <c r="A20" s="16"/>
      <c r="B20" s="143"/>
      <c r="C20" s="143"/>
      <c r="D20" s="143"/>
      <c r="E20" s="143"/>
      <c r="F20" s="143"/>
      <c r="G20" s="143"/>
      <c r="H20" s="143"/>
      <c r="I20" s="144"/>
      <c r="J20" s="34"/>
      <c r="K20" s="17"/>
    </row>
    <row r="21" spans="1:11" ht="12.75" customHeight="1">
      <c r="A21" s="16"/>
      <c r="B21" s="254" t="s">
        <v>144</v>
      </c>
      <c r="C21" s="254"/>
      <c r="D21" s="254"/>
      <c r="E21" s="254"/>
      <c r="F21" s="254"/>
      <c r="G21" s="254"/>
      <c r="H21" s="254"/>
      <c r="I21" s="171">
        <f>(INPUT!$I$21)</f>
        <v>3.18</v>
      </c>
      <c r="J21" s="34" t="s">
        <v>16</v>
      </c>
      <c r="K21" s="17"/>
    </row>
    <row r="22" spans="1:11" ht="12.75" customHeight="1">
      <c r="A22" s="16"/>
      <c r="B22" s="33"/>
      <c r="C22" s="33"/>
      <c r="D22" s="33"/>
      <c r="E22" s="33"/>
      <c r="F22" s="33"/>
      <c r="G22" s="33"/>
      <c r="H22" s="33"/>
      <c r="I22" s="50"/>
      <c r="J22" s="34"/>
      <c r="K22" s="17"/>
    </row>
    <row r="23" spans="1:11">
      <c r="A23" s="16"/>
      <c r="B23" s="255"/>
      <c r="C23" s="255"/>
      <c r="D23" s="255"/>
      <c r="E23" s="255"/>
      <c r="F23" s="255"/>
      <c r="G23" s="255"/>
      <c r="H23" s="255"/>
      <c r="I23" s="176"/>
      <c r="J23" s="34"/>
      <c r="K23" s="17"/>
    </row>
    <row r="24" spans="1:11" ht="13.5" thickBot="1">
      <c r="A24" s="16"/>
      <c r="B24" s="238" t="s">
        <v>21</v>
      </c>
      <c r="C24" s="239"/>
      <c r="D24" s="240"/>
      <c r="E24" s="247" t="s">
        <v>22</v>
      </c>
      <c r="F24" s="247"/>
      <c r="G24" s="248"/>
      <c r="H24" s="241" t="s">
        <v>23</v>
      </c>
      <c r="I24" s="260"/>
      <c r="J24" s="242"/>
      <c r="K24" s="17"/>
    </row>
    <row r="25" spans="1:11">
      <c r="A25" s="16"/>
      <c r="B25" s="250" t="s">
        <v>28</v>
      </c>
      <c r="C25" s="251"/>
      <c r="D25" s="252"/>
      <c r="E25" s="259">
        <f>G5</f>
        <v>1000</v>
      </c>
      <c r="F25" s="259"/>
      <c r="G25" s="45" t="s">
        <v>24</v>
      </c>
      <c r="H25" s="261">
        <f>G9</f>
        <v>3660</v>
      </c>
      <c r="I25" s="262"/>
      <c r="J25" s="263"/>
      <c r="K25" s="17"/>
    </row>
    <row r="26" spans="1:11">
      <c r="A26" s="16"/>
      <c r="B26" s="267" t="s">
        <v>29</v>
      </c>
      <c r="C26" s="268"/>
      <c r="D26" s="269"/>
      <c r="E26" s="257">
        <f>(G5*BTU!$G$6)/(BTU!$G$7)</f>
        <v>7.4675324675324672</v>
      </c>
      <c r="F26" s="257"/>
      <c r="G26" s="46" t="s">
        <v>25</v>
      </c>
      <c r="H26" s="264">
        <f>(I13*E26)</f>
        <v>1568.181818181818</v>
      </c>
      <c r="I26" s="265"/>
      <c r="J26" s="266"/>
      <c r="K26" s="17"/>
    </row>
    <row r="27" spans="1:11">
      <c r="A27" s="16"/>
      <c r="B27" s="267" t="s">
        <v>30</v>
      </c>
      <c r="C27" s="268"/>
      <c r="D27" s="269"/>
      <c r="E27" s="257">
        <f>(G5*BTU!$G$6)/(BTU!$G$8)</f>
        <v>34431.137724550899</v>
      </c>
      <c r="F27" s="257"/>
      <c r="G27" s="46" t="s">
        <v>26</v>
      </c>
      <c r="H27" s="264">
        <f>(I15*E27)</f>
        <v>3580.8383233532932</v>
      </c>
      <c r="I27" s="265"/>
      <c r="J27" s="266"/>
      <c r="K27" s="17"/>
    </row>
    <row r="28" spans="1:11">
      <c r="A28" s="16"/>
      <c r="B28" s="267" t="s">
        <v>31</v>
      </c>
      <c r="C28" s="268"/>
      <c r="D28" s="269"/>
      <c r="E28" s="257">
        <f>(G5*BTU!$G$6)/(BTU!$G$9)</f>
        <v>8.4558823529411757</v>
      </c>
      <c r="F28" s="257"/>
      <c r="G28" s="47" t="s">
        <v>27</v>
      </c>
      <c r="H28" s="264">
        <f>(I17*E28)</f>
        <v>2029.4117647058822</v>
      </c>
      <c r="I28" s="265"/>
      <c r="J28" s="266"/>
      <c r="K28" s="17"/>
    </row>
    <row r="29" spans="1:11">
      <c r="A29" s="16"/>
      <c r="B29" s="243" t="s">
        <v>32</v>
      </c>
      <c r="C29" s="244"/>
      <c r="D29" s="245"/>
      <c r="E29" s="246">
        <f>(G5*BTU!$G$6)/(BTU!$G$10)</f>
        <v>5.75</v>
      </c>
      <c r="F29" s="246"/>
      <c r="G29" s="147" t="s">
        <v>27</v>
      </c>
      <c r="H29" s="231">
        <f>(I19*E29)</f>
        <v>1782.5</v>
      </c>
      <c r="I29" s="232"/>
      <c r="J29" s="237"/>
      <c r="K29" s="17"/>
    </row>
    <row r="30" spans="1:11">
      <c r="A30" s="16"/>
      <c r="B30" s="243" t="s">
        <v>149</v>
      </c>
      <c r="C30" s="244"/>
      <c r="D30" s="245"/>
      <c r="E30" s="246">
        <f>(G5*BTU!$G$6)/(BTU!$G$11)</f>
        <v>1597.2222222222222</v>
      </c>
      <c r="F30" s="246"/>
      <c r="G30" s="147" t="s">
        <v>24</v>
      </c>
      <c r="H30" s="231">
        <f>(I21*E30)</f>
        <v>5079.166666666667</v>
      </c>
      <c r="I30" s="232"/>
      <c r="J30" s="237"/>
      <c r="K30" s="17"/>
    </row>
    <row r="31" spans="1:11">
      <c r="A31" s="16"/>
      <c r="B31" s="57"/>
      <c r="C31" s="57"/>
      <c r="D31" s="177"/>
      <c r="E31" s="178"/>
      <c r="F31" s="178"/>
      <c r="G31" s="58"/>
      <c r="H31" s="179"/>
      <c r="I31" s="179"/>
      <c r="J31" s="177"/>
      <c r="K31" s="17"/>
    </row>
    <row r="32" spans="1:11" ht="15.75">
      <c r="A32" s="16"/>
      <c r="B32" s="256" t="s">
        <v>36</v>
      </c>
      <c r="C32" s="256"/>
      <c r="D32" s="256"/>
      <c r="E32" s="256"/>
      <c r="F32" s="256"/>
      <c r="G32" s="256"/>
      <c r="H32" s="256"/>
      <c r="I32" s="256"/>
      <c r="J32" s="256"/>
      <c r="K32" s="17"/>
    </row>
    <row r="33" spans="1:11" ht="15.75">
      <c r="A33" s="16"/>
      <c r="B33" s="169"/>
      <c r="C33" s="169"/>
      <c r="D33" s="169"/>
      <c r="E33" s="169"/>
      <c r="F33" s="169"/>
      <c r="G33" s="169"/>
      <c r="H33" s="169"/>
      <c r="I33" s="169"/>
      <c r="J33" s="169"/>
      <c r="K33" s="17"/>
    </row>
    <row r="34" spans="1:11" ht="13.5" thickBot="1">
      <c r="A34" s="16"/>
      <c r="B34" s="238" t="s">
        <v>21</v>
      </c>
      <c r="C34" s="239"/>
      <c r="D34" s="240"/>
      <c r="E34" s="247" t="s">
        <v>34</v>
      </c>
      <c r="F34" s="247"/>
      <c r="G34" s="248"/>
      <c r="H34" s="241" t="s">
        <v>35</v>
      </c>
      <c r="I34" s="239"/>
      <c r="J34" s="242"/>
      <c r="K34" s="17"/>
    </row>
    <row r="35" spans="1:11">
      <c r="A35" s="16"/>
      <c r="B35" s="267" t="s">
        <v>29</v>
      </c>
      <c r="C35" s="268"/>
      <c r="D35" s="269"/>
      <c r="E35" s="231">
        <f>IF(H25-H26&lt;0,"COSTS MORE",H25-H26)</f>
        <v>2091.818181818182</v>
      </c>
      <c r="F35" s="232"/>
      <c r="G35" s="233"/>
      <c r="H35" s="234">
        <f>IF(H26&gt;H25,"N0 SAVINGS",E35/H25)</f>
        <v>0.57153502235469456</v>
      </c>
      <c r="I35" s="235"/>
      <c r="J35" s="236"/>
      <c r="K35" s="17"/>
    </row>
    <row r="36" spans="1:11">
      <c r="A36" s="16"/>
      <c r="B36" s="267" t="s">
        <v>30</v>
      </c>
      <c r="C36" s="268"/>
      <c r="D36" s="269"/>
      <c r="E36" s="231">
        <f>IF(H25-H27&lt;0,"COSTS MORE",H25-H27)</f>
        <v>79.161676646706837</v>
      </c>
      <c r="F36" s="232"/>
      <c r="G36" s="233"/>
      <c r="H36" s="234">
        <f>IF(H27&gt;H24,"N0 SAVINGS",E36/H25)</f>
        <v>2.1628873400739573E-2</v>
      </c>
      <c r="I36" s="235"/>
      <c r="J36" s="236"/>
      <c r="K36" s="17"/>
    </row>
    <row r="37" spans="1:11">
      <c r="A37" s="16"/>
      <c r="B37" s="267" t="s">
        <v>31</v>
      </c>
      <c r="C37" s="268"/>
      <c r="D37" s="269"/>
      <c r="E37" s="231">
        <f>IF(H25-H28&lt;0,"COSTS MORE",H25-H28)</f>
        <v>1630.5882352941178</v>
      </c>
      <c r="F37" s="232"/>
      <c r="G37" s="233"/>
      <c r="H37" s="234">
        <f>IF(H28&gt;H25,"N0 SAVINGS",E37/H25)</f>
        <v>0.44551591128254586</v>
      </c>
      <c r="I37" s="235"/>
      <c r="J37" s="236"/>
      <c r="K37" s="17"/>
    </row>
    <row r="38" spans="1:11">
      <c r="A38" s="16"/>
      <c r="B38" s="243" t="s">
        <v>32</v>
      </c>
      <c r="C38" s="244"/>
      <c r="D38" s="245"/>
      <c r="E38" s="231">
        <f>IF(H25-H29&lt;0,"COSTS MORE",H25-H29)</f>
        <v>1877.5</v>
      </c>
      <c r="F38" s="232"/>
      <c r="G38" s="233"/>
      <c r="H38" s="234">
        <f>IF(H29&gt;H25,"N0 SAVINGS",E38/H25)</f>
        <v>0.51297814207650272</v>
      </c>
      <c r="I38" s="235"/>
      <c r="J38" s="236"/>
      <c r="K38" s="17"/>
    </row>
    <row r="39" spans="1:11">
      <c r="A39" s="16"/>
      <c r="B39" s="243" t="s">
        <v>149</v>
      </c>
      <c r="C39" s="244"/>
      <c r="D39" s="245"/>
      <c r="E39" s="231" t="str">
        <f>IF(H25-H30&lt;0,"COSTS MORE",H25-H30)</f>
        <v>COSTS MORE</v>
      </c>
      <c r="F39" s="232"/>
      <c r="G39" s="233"/>
      <c r="H39" s="234" t="str">
        <f>IF(H30&gt;H25,"N0 SAVINGS",H30/H25)</f>
        <v>N0 SAVINGS</v>
      </c>
      <c r="I39" s="235"/>
      <c r="J39" s="236"/>
      <c r="K39" s="17"/>
    </row>
    <row r="40" spans="1:11" ht="9.75" customHeight="1" thickBo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spans="1:11" ht="13.5" thickTop="1">
      <c r="B41" s="2"/>
      <c r="C41" s="2"/>
      <c r="D41" s="2"/>
      <c r="E41" s="2"/>
      <c r="F41" s="2"/>
      <c r="G41" s="2"/>
      <c r="H41" s="2"/>
      <c r="I41" s="2"/>
      <c r="J41" s="2"/>
    </row>
    <row r="42" spans="1:11">
      <c r="B42" s="2"/>
      <c r="C42" s="2"/>
      <c r="D42" s="2"/>
      <c r="E42" s="2"/>
      <c r="F42" s="2"/>
      <c r="G42" s="2"/>
      <c r="H42" s="2"/>
      <c r="I42" s="2"/>
      <c r="J42" s="2"/>
    </row>
  </sheetData>
  <mergeCells count="48">
    <mergeCell ref="B36:D36"/>
    <mergeCell ref="B37:D37"/>
    <mergeCell ref="B39:D39"/>
    <mergeCell ref="E39:G39"/>
    <mergeCell ref="H39:J39"/>
    <mergeCell ref="B38:D38"/>
    <mergeCell ref="E38:G38"/>
    <mergeCell ref="H38:J38"/>
    <mergeCell ref="B27:D27"/>
    <mergeCell ref="B28:D28"/>
    <mergeCell ref="H30:J30"/>
    <mergeCell ref="E28:F28"/>
    <mergeCell ref="H28:J28"/>
    <mergeCell ref="B35:D35"/>
    <mergeCell ref="E35:G35"/>
    <mergeCell ref="E26:F26"/>
    <mergeCell ref="E27:F27"/>
    <mergeCell ref="B11:J12"/>
    <mergeCell ref="B13:G13"/>
    <mergeCell ref="E25:F25"/>
    <mergeCell ref="H24:J24"/>
    <mergeCell ref="H25:J25"/>
    <mergeCell ref="H26:J26"/>
    <mergeCell ref="H27:J27"/>
    <mergeCell ref="B26:D26"/>
    <mergeCell ref="B2:J3"/>
    <mergeCell ref="B24:D24"/>
    <mergeCell ref="B25:D25"/>
    <mergeCell ref="B15:H15"/>
    <mergeCell ref="B17:H17"/>
    <mergeCell ref="B19:H19"/>
    <mergeCell ref="B21:H21"/>
    <mergeCell ref="E24:G24"/>
    <mergeCell ref="B23:H23"/>
    <mergeCell ref="B34:D34"/>
    <mergeCell ref="H34:J34"/>
    <mergeCell ref="B29:D29"/>
    <mergeCell ref="E29:F29"/>
    <mergeCell ref="B30:D30"/>
    <mergeCell ref="E30:F30"/>
    <mergeCell ref="E34:G34"/>
    <mergeCell ref="B32:J32"/>
    <mergeCell ref="E36:G36"/>
    <mergeCell ref="E37:G37"/>
    <mergeCell ref="H35:J35"/>
    <mergeCell ref="H36:J36"/>
    <mergeCell ref="H37:J37"/>
    <mergeCell ref="H29:J29"/>
  </mergeCells>
  <phoneticPr fontId="0" type="noConversion"/>
  <conditionalFormatting sqref="E35:J39">
    <cfRule type="cellIs" dxfId="7" priority="1" stopIfTrue="1" operator="lessThanOrEqual">
      <formula>0</formula>
    </cfRule>
  </conditionalFormatting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10"/>
  </sheetPr>
  <dimension ref="A1:K54"/>
  <sheetViews>
    <sheetView topLeftCell="A13" zoomScaleNormal="100" workbookViewId="0">
      <selection activeCell="G7" sqref="G7"/>
    </sheetView>
  </sheetViews>
  <sheetFormatPr defaultRowHeight="12.75"/>
  <cols>
    <col min="1" max="1" width="2.42578125" customWidth="1"/>
    <col min="10" max="10" width="9.7109375" bestFit="1" customWidth="1"/>
    <col min="11" max="11" width="2.42578125" customWidth="1"/>
  </cols>
  <sheetData>
    <row r="1" spans="1:11" ht="11.25" customHeight="1" thickTop="1">
      <c r="A1" s="55"/>
      <c r="B1" s="54"/>
      <c r="C1" s="54"/>
      <c r="D1" s="54"/>
      <c r="E1" s="54"/>
      <c r="F1" s="54"/>
      <c r="G1" s="54"/>
      <c r="H1" s="54"/>
      <c r="I1" s="54"/>
      <c r="J1" s="54"/>
      <c r="K1" s="53"/>
    </row>
    <row r="2" spans="1:11" ht="18">
      <c r="A2" s="16"/>
      <c r="B2" s="249" t="s">
        <v>98</v>
      </c>
      <c r="C2" s="249"/>
      <c r="D2" s="249"/>
      <c r="E2" s="249"/>
      <c r="F2" s="249"/>
      <c r="G2" s="249"/>
      <c r="H2" s="249"/>
      <c r="I2" s="249"/>
      <c r="J2" s="249"/>
      <c r="K2" s="17"/>
    </row>
    <row r="3" spans="1:11">
      <c r="A3" s="16"/>
      <c r="B3" s="2"/>
      <c r="C3" s="2"/>
      <c r="D3" s="52"/>
      <c r="E3" s="294"/>
      <c r="F3" s="294"/>
      <c r="G3" s="2"/>
      <c r="H3" s="2"/>
      <c r="I3" s="2"/>
      <c r="J3" s="2"/>
      <c r="K3" s="17"/>
    </row>
    <row r="4" spans="1:11" ht="15.95" customHeight="1">
      <c r="A4" s="16"/>
      <c r="B4" s="35" t="s">
        <v>119</v>
      </c>
      <c r="C4" s="35"/>
      <c r="D4" s="41"/>
      <c r="E4" s="296" t="s">
        <v>165</v>
      </c>
      <c r="F4" s="297"/>
      <c r="G4" s="297"/>
      <c r="H4" s="298"/>
      <c r="I4" s="304" t="s">
        <v>162</v>
      </c>
      <c r="J4" s="305"/>
      <c r="K4" s="17"/>
    </row>
    <row r="5" spans="1:11">
      <c r="A5" s="16"/>
      <c r="B5" s="2"/>
      <c r="C5" s="2"/>
      <c r="D5" s="42"/>
      <c r="E5" s="295"/>
      <c r="F5" s="295"/>
      <c r="G5" s="2"/>
      <c r="H5" s="2"/>
      <c r="I5" s="2"/>
      <c r="J5" s="2"/>
      <c r="K5" s="17"/>
    </row>
    <row r="6" spans="1:11" ht="16.5" customHeight="1">
      <c r="A6" s="16"/>
      <c r="B6" s="279" t="s">
        <v>168</v>
      </c>
      <c r="C6" s="280"/>
      <c r="D6" s="280"/>
      <c r="E6" s="280"/>
      <c r="F6" s="280"/>
      <c r="G6" s="280"/>
      <c r="H6" s="281"/>
      <c r="I6" s="39">
        <v>1000</v>
      </c>
      <c r="J6" s="2"/>
      <c r="K6" s="17"/>
    </row>
    <row r="7" spans="1:11">
      <c r="A7" s="16"/>
      <c r="B7" s="2"/>
      <c r="C7" s="2"/>
      <c r="D7" s="2"/>
      <c r="E7" s="2"/>
      <c r="F7" s="2"/>
      <c r="G7" s="2"/>
      <c r="H7" s="2"/>
      <c r="I7" s="42"/>
      <c r="J7" s="2"/>
      <c r="K7" s="17"/>
    </row>
    <row r="8" spans="1:11" ht="9" customHeight="1">
      <c r="A8" s="16"/>
      <c r="B8" s="253" t="s">
        <v>163</v>
      </c>
      <c r="C8" s="282"/>
      <c r="D8" s="282"/>
      <c r="E8" s="282"/>
      <c r="F8" s="282"/>
      <c r="G8" s="282"/>
      <c r="H8" s="283"/>
      <c r="I8" s="286">
        <v>3.66</v>
      </c>
      <c r="J8" s="288" t="s">
        <v>16</v>
      </c>
      <c r="K8" s="17"/>
    </row>
    <row r="9" spans="1:11" ht="9" customHeight="1">
      <c r="A9" s="16"/>
      <c r="B9" s="284"/>
      <c r="C9" s="284"/>
      <c r="D9" s="284"/>
      <c r="E9" s="284"/>
      <c r="F9" s="284"/>
      <c r="G9" s="284"/>
      <c r="H9" s="285"/>
      <c r="I9" s="287"/>
      <c r="J9" s="288"/>
      <c r="K9" s="17"/>
    </row>
    <row r="10" spans="1:11">
      <c r="A10" s="16"/>
      <c r="B10" s="2"/>
      <c r="C10" s="2"/>
      <c r="D10" s="2"/>
      <c r="E10" s="2"/>
      <c r="F10" s="2"/>
      <c r="G10" s="2"/>
      <c r="H10" s="2"/>
      <c r="I10" s="42"/>
      <c r="J10" s="2"/>
      <c r="K10" s="17"/>
    </row>
    <row r="11" spans="1:11">
      <c r="A11" s="16"/>
      <c r="B11" s="275" t="s">
        <v>93</v>
      </c>
      <c r="C11" s="275"/>
      <c r="D11" s="275"/>
      <c r="E11" s="254"/>
      <c r="F11" s="2"/>
      <c r="G11" s="2"/>
      <c r="H11" s="2"/>
      <c r="I11" s="43">
        <v>20</v>
      </c>
      <c r="J11" s="2" t="s">
        <v>67</v>
      </c>
      <c r="K11" s="17"/>
    </row>
    <row r="12" spans="1:11" ht="9" customHeight="1">
      <c r="A12" s="16"/>
      <c r="B12" s="277" t="s">
        <v>160</v>
      </c>
      <c r="C12" s="277"/>
      <c r="D12" s="277"/>
      <c r="E12" s="277"/>
      <c r="F12" s="277"/>
      <c r="G12" s="277"/>
      <c r="H12" s="277"/>
      <c r="I12" s="277"/>
      <c r="J12" s="277"/>
      <c r="K12" s="17"/>
    </row>
    <row r="13" spans="1:11" ht="9" customHeight="1">
      <c r="A13" s="16"/>
      <c r="B13" s="277"/>
      <c r="C13" s="277"/>
      <c r="D13" s="277"/>
      <c r="E13" s="277"/>
      <c r="F13" s="277"/>
      <c r="G13" s="277"/>
      <c r="H13" s="277"/>
      <c r="I13" s="277"/>
      <c r="J13" s="277"/>
      <c r="K13" s="17"/>
    </row>
    <row r="14" spans="1:11" ht="6" customHeight="1">
      <c r="A14" s="16"/>
      <c r="B14" s="2"/>
      <c r="C14" s="2"/>
      <c r="D14" s="2"/>
      <c r="E14" s="2"/>
      <c r="F14" s="2"/>
      <c r="G14" s="2"/>
      <c r="H14" s="2"/>
      <c r="I14" s="2"/>
      <c r="J14" s="2"/>
      <c r="K14" s="17"/>
    </row>
    <row r="15" spans="1:11" ht="9" customHeight="1">
      <c r="A15" s="16"/>
      <c r="B15" s="253" t="s">
        <v>169</v>
      </c>
      <c r="C15" s="282"/>
      <c r="D15" s="282"/>
      <c r="E15" s="282"/>
      <c r="F15" s="282"/>
      <c r="G15" s="282"/>
      <c r="H15" s="282"/>
      <c r="I15" s="309">
        <v>210</v>
      </c>
      <c r="J15" s="291" t="s">
        <v>18</v>
      </c>
      <c r="K15" s="108"/>
    </row>
    <row r="16" spans="1:11" ht="9" customHeight="1">
      <c r="A16" s="16"/>
      <c r="B16" s="284"/>
      <c r="C16" s="284"/>
      <c r="D16" s="284"/>
      <c r="E16" s="284"/>
      <c r="F16" s="284"/>
      <c r="G16" s="284"/>
      <c r="H16" s="284"/>
      <c r="I16" s="310"/>
      <c r="J16" s="291"/>
      <c r="K16" s="108"/>
    </row>
    <row r="17" spans="1:11" ht="9" customHeight="1">
      <c r="A17" s="16"/>
      <c r="B17" s="253" t="s">
        <v>170</v>
      </c>
      <c r="C17" s="300"/>
      <c r="D17" s="300"/>
      <c r="E17" s="300"/>
      <c r="F17" s="300"/>
      <c r="G17" s="300"/>
      <c r="H17" s="300"/>
      <c r="I17" s="302">
        <v>0.104</v>
      </c>
      <c r="J17" s="291" t="s">
        <v>19</v>
      </c>
      <c r="K17" s="108"/>
    </row>
    <row r="18" spans="1:11" ht="9" customHeight="1">
      <c r="A18" s="16"/>
      <c r="B18" s="301"/>
      <c r="C18" s="301"/>
      <c r="D18" s="301"/>
      <c r="E18" s="301"/>
      <c r="F18" s="301"/>
      <c r="G18" s="301"/>
      <c r="H18" s="301"/>
      <c r="I18" s="303"/>
      <c r="J18" s="291"/>
      <c r="K18" s="108"/>
    </row>
    <row r="19" spans="1:11" ht="9" customHeight="1">
      <c r="A19" s="16"/>
      <c r="B19" s="253" t="s">
        <v>171</v>
      </c>
      <c r="C19" s="282"/>
      <c r="D19" s="282"/>
      <c r="E19" s="282"/>
      <c r="F19" s="282"/>
      <c r="G19" s="282"/>
      <c r="H19" s="282"/>
      <c r="I19" s="289">
        <v>240</v>
      </c>
      <c r="J19" s="291" t="s">
        <v>20</v>
      </c>
      <c r="K19" s="108"/>
    </row>
    <row r="20" spans="1:11" ht="9" customHeight="1">
      <c r="A20" s="16"/>
      <c r="B20" s="284"/>
      <c r="C20" s="284"/>
      <c r="D20" s="284"/>
      <c r="E20" s="284"/>
      <c r="F20" s="284"/>
      <c r="G20" s="284"/>
      <c r="H20" s="284"/>
      <c r="I20" s="290"/>
      <c r="J20" s="291"/>
      <c r="K20" s="108"/>
    </row>
    <row r="21" spans="1:11" ht="9" customHeight="1">
      <c r="A21" s="16"/>
      <c r="B21" s="292" t="s">
        <v>172</v>
      </c>
      <c r="C21" s="292"/>
      <c r="D21" s="292"/>
      <c r="E21" s="292"/>
      <c r="F21" s="292"/>
      <c r="G21" s="292"/>
      <c r="H21" s="293"/>
      <c r="I21" s="306">
        <v>3.18</v>
      </c>
      <c r="J21" s="308" t="s">
        <v>16</v>
      </c>
      <c r="K21" s="108"/>
    </row>
    <row r="22" spans="1:11" ht="9" customHeight="1">
      <c r="A22" s="16"/>
      <c r="B22" s="292"/>
      <c r="C22" s="292"/>
      <c r="D22" s="292"/>
      <c r="E22" s="292"/>
      <c r="F22" s="292"/>
      <c r="G22" s="292"/>
      <c r="H22" s="293"/>
      <c r="I22" s="307"/>
      <c r="J22" s="308"/>
      <c r="K22" s="108"/>
    </row>
    <row r="23" spans="1:11" ht="9" customHeight="1">
      <c r="A23" s="16"/>
      <c r="B23" s="253" t="s">
        <v>173</v>
      </c>
      <c r="C23" s="282"/>
      <c r="D23" s="282"/>
      <c r="E23" s="282"/>
      <c r="F23" s="282"/>
      <c r="G23" s="282"/>
      <c r="H23" s="282"/>
      <c r="I23" s="289">
        <v>310</v>
      </c>
      <c r="J23" s="291" t="s">
        <v>20</v>
      </c>
      <c r="K23" s="108"/>
    </row>
    <row r="24" spans="1:11" ht="9" customHeight="1">
      <c r="A24" s="16"/>
      <c r="B24" s="284"/>
      <c r="C24" s="284"/>
      <c r="D24" s="284"/>
      <c r="E24" s="284"/>
      <c r="F24" s="284"/>
      <c r="G24" s="284"/>
      <c r="H24" s="284"/>
      <c r="I24" s="290"/>
      <c r="J24" s="291"/>
      <c r="K24" s="17"/>
    </row>
    <row r="25" spans="1:11" ht="9" customHeight="1">
      <c r="A25" s="16"/>
      <c r="B25" s="29"/>
      <c r="C25" s="29"/>
      <c r="D25" s="29"/>
      <c r="E25" s="29"/>
      <c r="F25" s="29"/>
      <c r="G25" s="29"/>
      <c r="H25" s="29"/>
      <c r="I25" s="50"/>
      <c r="J25" s="34"/>
      <c r="K25" s="17"/>
    </row>
    <row r="26" spans="1:11" ht="15.75">
      <c r="A26" s="16"/>
      <c r="B26" s="112" t="s">
        <v>120</v>
      </c>
      <c r="C26" s="2"/>
      <c r="D26" s="2"/>
      <c r="E26" s="299" t="s">
        <v>161</v>
      </c>
      <c r="F26" s="299"/>
      <c r="G26" s="299"/>
      <c r="H26" s="299"/>
      <c r="I26" s="299"/>
      <c r="J26" s="299"/>
      <c r="K26" s="17"/>
    </row>
    <row r="27" spans="1:11" ht="6.75" customHeight="1">
      <c r="A27" s="16"/>
      <c r="B27" s="112"/>
      <c r="C27" s="2"/>
      <c r="D27" s="2"/>
      <c r="E27" s="2"/>
      <c r="F27" s="2"/>
      <c r="G27" s="2"/>
      <c r="H27" s="2"/>
      <c r="I27" s="2"/>
      <c r="J27" s="2"/>
      <c r="K27" s="17"/>
    </row>
    <row r="28" spans="1:11">
      <c r="A28" s="16"/>
      <c r="B28" s="278" t="s">
        <v>94</v>
      </c>
      <c r="C28" s="278"/>
      <c r="D28" s="278"/>
      <c r="E28" s="278"/>
      <c r="F28" s="278"/>
      <c r="G28" s="278"/>
      <c r="H28" s="201" t="s">
        <v>159</v>
      </c>
      <c r="I28" s="202"/>
      <c r="J28" s="207">
        <v>40805</v>
      </c>
      <c r="K28" s="17"/>
    </row>
    <row r="29" spans="1:11" ht="15.95" customHeight="1">
      <c r="A29" s="16"/>
      <c r="B29" s="270" t="s">
        <v>74</v>
      </c>
      <c r="C29" s="270"/>
      <c r="D29" s="40">
        <v>5000</v>
      </c>
      <c r="E29" s="270" t="s">
        <v>75</v>
      </c>
      <c r="F29" s="270"/>
      <c r="G29" s="40">
        <v>1500</v>
      </c>
      <c r="H29" s="2"/>
      <c r="I29" s="271">
        <f>SUM(D29+G29+D30-G30)</f>
        <v>9000</v>
      </c>
      <c r="K29" s="17"/>
    </row>
    <row r="30" spans="1:11" ht="15.95" customHeight="1">
      <c r="A30" s="16"/>
      <c r="B30" s="270" t="s">
        <v>76</v>
      </c>
      <c r="C30" s="270"/>
      <c r="D30" s="40">
        <v>3000</v>
      </c>
      <c r="E30" s="270" t="s">
        <v>77</v>
      </c>
      <c r="F30" s="270"/>
      <c r="G30" s="40">
        <v>500</v>
      </c>
      <c r="H30" s="109"/>
      <c r="I30" s="272"/>
      <c r="K30" s="17"/>
    </row>
    <row r="31" spans="1:11">
      <c r="A31" s="16"/>
      <c r="B31" s="28"/>
      <c r="C31" s="28"/>
      <c r="D31" s="44"/>
      <c r="E31" s="110"/>
      <c r="F31" s="110"/>
      <c r="G31" s="44"/>
      <c r="H31" s="109"/>
      <c r="I31" s="2"/>
      <c r="K31" s="17"/>
    </row>
    <row r="32" spans="1:11">
      <c r="A32" s="16"/>
      <c r="B32" s="278" t="s">
        <v>146</v>
      </c>
      <c r="C32" s="278"/>
      <c r="D32" s="278"/>
      <c r="E32" s="278"/>
      <c r="F32" s="278"/>
      <c r="G32" s="278"/>
      <c r="H32" s="201" t="s">
        <v>159</v>
      </c>
      <c r="I32" s="202"/>
      <c r="J32" s="207">
        <v>40805</v>
      </c>
      <c r="K32" s="17"/>
    </row>
    <row r="33" spans="1:11" ht="15.95" customHeight="1">
      <c r="A33" s="16"/>
      <c r="B33" s="270" t="s">
        <v>74</v>
      </c>
      <c r="C33" s="270"/>
      <c r="D33" s="40">
        <v>12000</v>
      </c>
      <c r="E33" s="270" t="s">
        <v>75</v>
      </c>
      <c r="F33" s="270"/>
      <c r="G33" s="40">
        <v>850</v>
      </c>
      <c r="H33" s="2"/>
      <c r="I33" s="271">
        <f>SUM(D33+G33+D34+G34)</f>
        <v>15850</v>
      </c>
      <c r="K33" s="17"/>
    </row>
    <row r="34" spans="1:11" ht="15.95" customHeight="1">
      <c r="A34" s="16"/>
      <c r="B34" s="270" t="s">
        <v>76</v>
      </c>
      <c r="C34" s="270"/>
      <c r="D34" s="40">
        <v>3000</v>
      </c>
      <c r="E34" s="270" t="s">
        <v>77</v>
      </c>
      <c r="F34" s="270"/>
      <c r="G34" s="40">
        <v>0</v>
      </c>
      <c r="H34" s="2"/>
      <c r="I34" s="272"/>
      <c r="K34" s="17"/>
    </row>
    <row r="35" spans="1:11">
      <c r="A35" s="16"/>
      <c r="B35" s="28"/>
      <c r="C35" s="28"/>
      <c r="D35" s="44"/>
      <c r="E35" s="110"/>
      <c r="F35" s="110"/>
      <c r="G35" s="44"/>
      <c r="H35" s="2"/>
      <c r="I35" s="2"/>
      <c r="K35" s="17"/>
    </row>
    <row r="36" spans="1:11">
      <c r="A36" s="16"/>
      <c r="B36" s="278" t="s">
        <v>147</v>
      </c>
      <c r="C36" s="278"/>
      <c r="D36" s="278"/>
      <c r="E36" s="278"/>
      <c r="F36" s="278"/>
      <c r="G36" s="278"/>
      <c r="H36" s="201" t="s">
        <v>159</v>
      </c>
      <c r="I36" s="202"/>
      <c r="J36" s="207">
        <v>40805</v>
      </c>
      <c r="K36" s="17"/>
    </row>
    <row r="37" spans="1:11" ht="15.95" customHeight="1">
      <c r="A37" s="16"/>
      <c r="B37" s="270" t="s">
        <v>74</v>
      </c>
      <c r="C37" s="270"/>
      <c r="D37" s="40">
        <v>10000</v>
      </c>
      <c r="E37" s="270" t="s">
        <v>75</v>
      </c>
      <c r="F37" s="270"/>
      <c r="G37" s="40">
        <v>1500</v>
      </c>
      <c r="H37" s="2"/>
      <c r="I37" s="271">
        <f>SUM(D37+G37+D38+G38)</f>
        <v>14500</v>
      </c>
      <c r="K37" s="17"/>
    </row>
    <row r="38" spans="1:11" ht="15.95" customHeight="1">
      <c r="A38" s="16"/>
      <c r="B38" s="270" t="s">
        <v>76</v>
      </c>
      <c r="C38" s="270"/>
      <c r="D38" s="40">
        <v>3000</v>
      </c>
      <c r="E38" s="270" t="s">
        <v>77</v>
      </c>
      <c r="F38" s="270"/>
      <c r="G38" s="40">
        <v>0</v>
      </c>
      <c r="H38" s="2"/>
      <c r="I38" s="272"/>
      <c r="K38" s="17"/>
    </row>
    <row r="39" spans="1:11">
      <c r="A39" s="16"/>
      <c r="B39" s="28"/>
      <c r="C39" s="28"/>
      <c r="D39" s="44"/>
      <c r="E39" s="110"/>
      <c r="F39" s="110"/>
      <c r="G39" s="44"/>
      <c r="H39" s="2"/>
      <c r="I39" s="2"/>
      <c r="K39" s="17"/>
    </row>
    <row r="40" spans="1:11">
      <c r="A40" s="16"/>
      <c r="B40" s="278" t="s">
        <v>148</v>
      </c>
      <c r="C40" s="278"/>
      <c r="D40" s="278"/>
      <c r="E40" s="278"/>
      <c r="F40" s="278"/>
      <c r="G40" s="278"/>
      <c r="H40" s="201" t="s">
        <v>159</v>
      </c>
      <c r="I40" s="202"/>
      <c r="J40" s="207">
        <v>40805</v>
      </c>
      <c r="K40" s="17"/>
    </row>
    <row r="41" spans="1:11" ht="15.95" customHeight="1">
      <c r="A41" s="16"/>
      <c r="B41" s="270" t="s">
        <v>74</v>
      </c>
      <c r="C41" s="270"/>
      <c r="D41" s="40">
        <v>10000</v>
      </c>
      <c r="E41" s="270" t="s">
        <v>75</v>
      </c>
      <c r="F41" s="270"/>
      <c r="G41" s="40">
        <v>3500</v>
      </c>
      <c r="H41" s="2"/>
      <c r="I41" s="271">
        <f>SUM(D41+G41+D42+G42)</f>
        <v>16500</v>
      </c>
      <c r="K41" s="17"/>
    </row>
    <row r="42" spans="1:11" ht="15.95" customHeight="1">
      <c r="A42" s="16"/>
      <c r="B42" s="270" t="s">
        <v>76</v>
      </c>
      <c r="C42" s="270"/>
      <c r="D42" s="40">
        <v>3000</v>
      </c>
      <c r="E42" s="270" t="s">
        <v>77</v>
      </c>
      <c r="F42" s="270"/>
      <c r="G42" s="40">
        <v>0</v>
      </c>
      <c r="H42" s="111"/>
      <c r="I42" s="272"/>
      <c r="K42" s="17"/>
    </row>
    <row r="43" spans="1:11">
      <c r="A43" s="16"/>
      <c r="B43" s="28"/>
      <c r="C43" s="28"/>
      <c r="D43" s="44"/>
      <c r="E43" s="110"/>
      <c r="F43" s="110"/>
      <c r="G43" s="44"/>
      <c r="H43" s="111"/>
      <c r="I43" s="2"/>
      <c r="J43" s="2"/>
      <c r="K43" s="17"/>
    </row>
    <row r="44" spans="1:11">
      <c r="A44" s="16"/>
      <c r="B44" s="273" t="s">
        <v>145</v>
      </c>
      <c r="C44" s="274"/>
      <c r="D44" s="274"/>
      <c r="E44" s="274"/>
      <c r="F44" s="274"/>
      <c r="G44" s="274"/>
      <c r="H44" s="201" t="s">
        <v>159</v>
      </c>
      <c r="I44" s="202"/>
      <c r="J44" s="207">
        <v>40805</v>
      </c>
      <c r="K44" s="17"/>
    </row>
    <row r="45" spans="1:11">
      <c r="A45" s="16"/>
      <c r="B45" s="270" t="s">
        <v>74</v>
      </c>
      <c r="C45" s="270"/>
      <c r="D45" s="40">
        <v>5000</v>
      </c>
      <c r="E45" s="270" t="s">
        <v>75</v>
      </c>
      <c r="F45" s="270"/>
      <c r="G45" s="40">
        <v>800</v>
      </c>
      <c r="H45" s="2"/>
      <c r="I45" s="271">
        <f>SUM(D45+G45+D46+G46)</f>
        <v>8800</v>
      </c>
      <c r="K45" s="17"/>
    </row>
    <row r="46" spans="1:11">
      <c r="A46" s="16"/>
      <c r="B46" s="270" t="s">
        <v>76</v>
      </c>
      <c r="C46" s="270"/>
      <c r="D46" s="40">
        <v>3000</v>
      </c>
      <c r="E46" s="270" t="s">
        <v>77</v>
      </c>
      <c r="F46" s="270"/>
      <c r="G46" s="40">
        <v>0</v>
      </c>
      <c r="H46" s="111"/>
      <c r="I46" s="272"/>
      <c r="K46" s="17"/>
    </row>
    <row r="47" spans="1:11">
      <c r="A47" s="16"/>
      <c r="B47" s="28"/>
      <c r="C47" s="28"/>
      <c r="D47" s="44"/>
      <c r="E47" s="28"/>
      <c r="F47" s="28"/>
      <c r="G47" s="44"/>
      <c r="H47" s="111"/>
      <c r="I47" s="180"/>
      <c r="K47" s="17"/>
    </row>
    <row r="48" spans="1:11" ht="9" customHeight="1">
      <c r="A48" s="16"/>
      <c r="B48" s="277" t="s">
        <v>164</v>
      </c>
      <c r="C48" s="277"/>
      <c r="D48" s="277"/>
      <c r="E48" s="277"/>
      <c r="F48" s="277"/>
      <c r="G48" s="277"/>
      <c r="H48" s="277"/>
      <c r="I48" s="277"/>
      <c r="J48" s="277"/>
      <c r="K48" s="17"/>
    </row>
    <row r="49" spans="1:11" ht="9" customHeight="1">
      <c r="A49" s="16"/>
      <c r="B49" s="277"/>
      <c r="C49" s="277"/>
      <c r="D49" s="277"/>
      <c r="E49" s="277"/>
      <c r="F49" s="277"/>
      <c r="G49" s="277"/>
      <c r="H49" s="277"/>
      <c r="I49" s="277"/>
      <c r="J49" s="277"/>
      <c r="K49" s="17"/>
    </row>
    <row r="50" spans="1:11" ht="8.25" customHeight="1">
      <c r="A50" s="16"/>
      <c r="B50" s="275"/>
      <c r="C50" s="275"/>
      <c r="D50" s="275"/>
      <c r="E50" s="275"/>
      <c r="F50" s="275"/>
      <c r="G50" s="275"/>
      <c r="H50" s="275"/>
      <c r="I50" s="275"/>
      <c r="J50" s="275"/>
      <c r="K50" s="17"/>
    </row>
    <row r="51" spans="1:11" ht="15.95" customHeight="1">
      <c r="A51" s="16"/>
      <c r="B51" s="276" t="s">
        <v>71</v>
      </c>
      <c r="C51" s="276"/>
      <c r="D51" s="21">
        <v>10000</v>
      </c>
      <c r="E51" s="276" t="s">
        <v>73</v>
      </c>
      <c r="F51" s="276"/>
      <c r="G51" s="22">
        <v>5.5E-2</v>
      </c>
      <c r="H51" s="276" t="s">
        <v>72</v>
      </c>
      <c r="I51" s="276"/>
      <c r="J51" s="23">
        <v>7</v>
      </c>
      <c r="K51" s="17"/>
    </row>
    <row r="52" spans="1:11">
      <c r="A52" s="16"/>
      <c r="B52" s="2"/>
      <c r="C52" s="2"/>
      <c r="D52" s="111"/>
      <c r="E52" s="2"/>
      <c r="F52" s="2"/>
      <c r="G52" s="111"/>
      <c r="H52" s="2"/>
      <c r="I52" s="2"/>
      <c r="J52" s="111"/>
      <c r="K52" s="17"/>
    </row>
    <row r="53" spans="1:11" ht="9.75" customHeight="1" thickBo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20"/>
    </row>
    <row r="54" spans="1:11" ht="13.5" thickTop="1"/>
  </sheetData>
  <mergeCells count="62">
    <mergeCell ref="I15:I16"/>
    <mergeCell ref="E29:F29"/>
    <mergeCell ref="B19:H20"/>
    <mergeCell ref="J15:J16"/>
    <mergeCell ref="B17:H18"/>
    <mergeCell ref="I17:I18"/>
    <mergeCell ref="I4:J4"/>
    <mergeCell ref="J23:J24"/>
    <mergeCell ref="B29:C29"/>
    <mergeCell ref="I21:I22"/>
    <mergeCell ref="I23:I24"/>
    <mergeCell ref="J21:J22"/>
    <mergeCell ref="J17:J18"/>
    <mergeCell ref="E3:F3"/>
    <mergeCell ref="B2:J2"/>
    <mergeCell ref="E5:F5"/>
    <mergeCell ref="B30:C30"/>
    <mergeCell ref="E30:F30"/>
    <mergeCell ref="E4:H4"/>
    <mergeCell ref="B28:G28"/>
    <mergeCell ref="B23:H24"/>
    <mergeCell ref="B15:H16"/>
    <mergeCell ref="E26:J26"/>
    <mergeCell ref="I29:I30"/>
    <mergeCell ref="B6:H6"/>
    <mergeCell ref="B8:H9"/>
    <mergeCell ref="I8:I9"/>
    <mergeCell ref="J8:J9"/>
    <mergeCell ref="B11:E11"/>
    <mergeCell ref="B12:J13"/>
    <mergeCell ref="I19:I20"/>
    <mergeCell ref="J19:J20"/>
    <mergeCell ref="B21:H22"/>
    <mergeCell ref="E45:F45"/>
    <mergeCell ref="I45:I46"/>
    <mergeCell ref="B32:G32"/>
    <mergeCell ref="B36:G36"/>
    <mergeCell ref="B33:C33"/>
    <mergeCell ref="E33:F33"/>
    <mergeCell ref="B34:C34"/>
    <mergeCell ref="E34:F34"/>
    <mergeCell ref="B46:C46"/>
    <mergeCell ref="B50:J50"/>
    <mergeCell ref="B51:C51"/>
    <mergeCell ref="E51:F51"/>
    <mergeCell ref="H51:I51"/>
    <mergeCell ref="B48:J49"/>
    <mergeCell ref="B40:G40"/>
    <mergeCell ref="B42:C42"/>
    <mergeCell ref="E42:F42"/>
    <mergeCell ref="B41:C41"/>
    <mergeCell ref="E41:F41"/>
    <mergeCell ref="E46:F46"/>
    <mergeCell ref="I41:I42"/>
    <mergeCell ref="I33:I34"/>
    <mergeCell ref="I37:I38"/>
    <mergeCell ref="B38:C38"/>
    <mergeCell ref="E38:F38"/>
    <mergeCell ref="B37:C37"/>
    <mergeCell ref="E37:F37"/>
    <mergeCell ref="B44:G44"/>
    <mergeCell ref="B45:C45"/>
  </mergeCells>
  <phoneticPr fontId="0" type="noConversion"/>
  <printOptions horizontalCentered="1"/>
  <pageMargins left="0.75" right="0.75" top="0.5" bottom="0.5" header="0.2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60"/>
  <sheetViews>
    <sheetView topLeftCell="A16" zoomScaleNormal="100" workbookViewId="0">
      <selection activeCell="G13" sqref="G13"/>
    </sheetView>
  </sheetViews>
  <sheetFormatPr defaultRowHeight="12.75"/>
  <cols>
    <col min="1" max="1" width="2.5703125" customWidth="1"/>
    <col min="3" max="3" width="19.85546875" customWidth="1"/>
    <col min="4" max="4" width="9.7109375" bestFit="1" customWidth="1"/>
    <col min="5" max="6" width="10.42578125" bestFit="1" customWidth="1"/>
    <col min="7" max="7" width="10.42578125" customWidth="1"/>
    <col min="9" max="9" width="10" customWidth="1"/>
    <col min="10" max="10" width="2.140625" customWidth="1"/>
    <col min="12" max="12" width="9.7109375" bestFit="1" customWidth="1"/>
  </cols>
  <sheetData>
    <row r="1" spans="1:13" ht="7.5" customHeight="1" thickTop="1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3" ht="13.5" customHeight="1">
      <c r="A2" s="320" t="s">
        <v>156</v>
      </c>
      <c r="B2" s="321"/>
      <c r="C2" s="321"/>
      <c r="D2" s="321"/>
      <c r="E2" s="321"/>
      <c r="F2" s="321"/>
      <c r="G2" s="321"/>
      <c r="H2" s="321"/>
      <c r="I2" s="321"/>
      <c r="J2" s="62"/>
    </row>
    <row r="3" spans="1:13" ht="12.75" customHeight="1">
      <c r="A3" s="63"/>
      <c r="B3" s="64"/>
      <c r="C3" s="64"/>
      <c r="D3" s="64"/>
      <c r="E3" s="64"/>
      <c r="F3" s="64"/>
      <c r="G3" s="64"/>
      <c r="H3" s="64"/>
      <c r="I3" s="65"/>
      <c r="J3" s="62"/>
    </row>
    <row r="4" spans="1:13" ht="12.75" customHeight="1">
      <c r="A4" s="66"/>
      <c r="B4" s="67"/>
      <c r="C4" s="67"/>
      <c r="D4" s="322" t="s">
        <v>59</v>
      </c>
      <c r="E4" s="322" t="s">
        <v>60</v>
      </c>
      <c r="F4" s="322" t="s">
        <v>61</v>
      </c>
      <c r="G4" s="322" t="s">
        <v>62</v>
      </c>
      <c r="H4" s="322" t="s">
        <v>150</v>
      </c>
      <c r="I4" s="65"/>
      <c r="J4" s="62"/>
    </row>
    <row r="5" spans="1:13">
      <c r="A5" s="66"/>
      <c r="B5" s="67"/>
      <c r="C5" s="67"/>
      <c r="D5" s="322"/>
      <c r="E5" s="323"/>
      <c r="F5" s="323"/>
      <c r="G5" s="322"/>
      <c r="H5" s="322"/>
      <c r="I5" s="65"/>
      <c r="J5" s="62"/>
    </row>
    <row r="6" spans="1:13">
      <c r="A6" s="66"/>
      <c r="B6" s="311" t="s">
        <v>55</v>
      </c>
      <c r="C6" s="311"/>
      <c r="D6" s="199">
        <f>(INPUT!$D$29)</f>
        <v>5000</v>
      </c>
      <c r="E6" s="199">
        <f>(INPUT!$D$33)</f>
        <v>12000</v>
      </c>
      <c r="F6" s="199">
        <f>(INPUT!$D$41)</f>
        <v>10000</v>
      </c>
      <c r="G6" s="199">
        <f>(INPUT!$D$37)</f>
        <v>10000</v>
      </c>
      <c r="H6" s="199">
        <v>5000</v>
      </c>
      <c r="I6" s="68"/>
      <c r="J6" s="69"/>
    </row>
    <row r="7" spans="1:13">
      <c r="A7" s="70"/>
      <c r="B7" s="311" t="s">
        <v>56</v>
      </c>
      <c r="C7" s="311"/>
      <c r="D7" s="199">
        <f>(INPUT!$G$29)</f>
        <v>1500</v>
      </c>
      <c r="E7" s="199">
        <f>(INPUT!$G$33)</f>
        <v>850</v>
      </c>
      <c r="F7" s="199">
        <f>(INPUT!$G$41)</f>
        <v>3500</v>
      </c>
      <c r="G7" s="199">
        <f>(INPUT!$G$37)</f>
        <v>1500</v>
      </c>
      <c r="H7" s="199">
        <f>(INPUT!$G$45)</f>
        <v>800</v>
      </c>
      <c r="I7" s="68"/>
      <c r="J7" s="69"/>
    </row>
    <row r="8" spans="1:13">
      <c r="A8" s="70"/>
      <c r="B8" s="311" t="s">
        <v>57</v>
      </c>
      <c r="C8" s="311"/>
      <c r="D8" s="199">
        <f>(INPUT!$D$30)</f>
        <v>3000</v>
      </c>
      <c r="E8" s="199">
        <f>(INPUT!$D$34)</f>
        <v>3000</v>
      </c>
      <c r="F8" s="199">
        <f>(INPUT!$D$42)</f>
        <v>3000</v>
      </c>
      <c r="G8" s="199">
        <f>(INPUT!$D$38)</f>
        <v>3000</v>
      </c>
      <c r="H8" s="199">
        <f>(INPUT!$D$46)</f>
        <v>3000</v>
      </c>
      <c r="I8" s="68"/>
      <c r="J8" s="69"/>
    </row>
    <row r="9" spans="1:13" ht="9" customHeight="1">
      <c r="A9" s="70"/>
      <c r="B9" s="311" t="s">
        <v>58</v>
      </c>
      <c r="C9" s="311"/>
      <c r="D9" s="318">
        <f>(INPUT!$G$30)</f>
        <v>500</v>
      </c>
      <c r="E9" s="318">
        <f>(INPUT!$G$34)</f>
        <v>0</v>
      </c>
      <c r="F9" s="318">
        <f>(INPUT!$G$42)</f>
        <v>0</v>
      </c>
      <c r="G9" s="318">
        <f>(INPUT!$G$38)</f>
        <v>0</v>
      </c>
      <c r="H9" s="318">
        <f>(INPUT!$G$46)</f>
        <v>0</v>
      </c>
      <c r="I9" s="68"/>
      <c r="J9" s="69"/>
    </row>
    <row r="10" spans="1:13" ht="5.25" customHeight="1">
      <c r="A10" s="70"/>
      <c r="B10" s="317"/>
      <c r="C10" s="317"/>
      <c r="D10" s="319"/>
      <c r="E10" s="319"/>
      <c r="F10" s="319"/>
      <c r="G10" s="319"/>
      <c r="H10" s="319"/>
      <c r="I10" s="68"/>
      <c r="J10" s="69"/>
    </row>
    <row r="11" spans="1:13">
      <c r="A11" s="70"/>
      <c r="B11" s="325" t="s">
        <v>63</v>
      </c>
      <c r="C11" s="326"/>
      <c r="D11" s="198">
        <f>(INPUT!$I$29)</f>
        <v>9000</v>
      </c>
      <c r="E11" s="198">
        <f>(INPUT!$I$33)</f>
        <v>15850</v>
      </c>
      <c r="F11" s="198">
        <f>(INPUT!$I$41)</f>
        <v>16500</v>
      </c>
      <c r="G11" s="198">
        <f>(INPUT!$I$37)</f>
        <v>14500</v>
      </c>
      <c r="H11" s="198">
        <f>(INPUT!$I$45)</f>
        <v>8800</v>
      </c>
      <c r="I11" s="65"/>
      <c r="J11" s="62"/>
    </row>
    <row r="12" spans="1:13">
      <c r="A12" s="66"/>
      <c r="B12" s="65"/>
      <c r="C12" s="65"/>
      <c r="D12" s="65"/>
      <c r="E12" s="65"/>
      <c r="F12" s="65"/>
      <c r="G12" s="65"/>
      <c r="H12" s="65"/>
      <c r="I12" s="65"/>
      <c r="J12" s="62"/>
    </row>
    <row r="13" spans="1:13">
      <c r="A13" s="66"/>
      <c r="B13" s="324" t="s">
        <v>108</v>
      </c>
      <c r="C13" s="324"/>
      <c r="D13" s="72">
        <v>20</v>
      </c>
      <c r="E13" s="65"/>
      <c r="F13" s="65"/>
      <c r="G13" s="65"/>
      <c r="H13" s="65"/>
      <c r="I13" s="65"/>
      <c r="J13" s="62"/>
      <c r="M13" s="159"/>
    </row>
    <row r="14" spans="1:13">
      <c r="A14" s="66"/>
      <c r="B14" s="324" t="s">
        <v>106</v>
      </c>
      <c r="C14" s="324"/>
      <c r="D14" s="73">
        <f>(FUELS!$G$5)</f>
        <v>1000</v>
      </c>
      <c r="E14" s="65"/>
      <c r="F14" s="65"/>
      <c r="G14" s="65"/>
      <c r="H14" s="65"/>
      <c r="I14" s="65"/>
      <c r="J14" s="62"/>
      <c r="L14" s="159"/>
    </row>
    <row r="15" spans="1:13">
      <c r="A15" s="66"/>
      <c r="B15" s="324" t="s">
        <v>107</v>
      </c>
      <c r="C15" s="324"/>
      <c r="D15" s="74">
        <f>(FUELS!$G$7)</f>
        <v>3.66</v>
      </c>
      <c r="E15" s="65"/>
      <c r="F15" s="65"/>
      <c r="G15" s="65"/>
      <c r="H15" s="65"/>
      <c r="I15" s="65"/>
      <c r="J15" s="62"/>
    </row>
    <row r="16" spans="1:13">
      <c r="A16" s="66"/>
      <c r="B16" s="75" t="s">
        <v>109</v>
      </c>
      <c r="C16" s="75"/>
      <c r="D16" s="76">
        <f>(FUELS!$H$25)</f>
        <v>3660</v>
      </c>
      <c r="E16" s="65"/>
      <c r="F16" s="65"/>
      <c r="G16" s="65"/>
      <c r="H16" s="65"/>
      <c r="I16" s="65"/>
      <c r="J16" s="62"/>
    </row>
    <row r="17" spans="1:14">
      <c r="A17" s="66"/>
      <c r="B17" s="75"/>
      <c r="C17" s="75"/>
      <c r="D17" s="76"/>
      <c r="E17" s="65"/>
      <c r="F17" s="65"/>
      <c r="G17" s="65"/>
      <c r="H17" s="65"/>
      <c r="I17" s="65"/>
      <c r="J17" s="62"/>
      <c r="K17" s="7"/>
      <c r="M17" s="159"/>
    </row>
    <row r="18" spans="1:14">
      <c r="A18" s="66"/>
      <c r="B18" s="324" t="s">
        <v>64</v>
      </c>
      <c r="C18" s="324"/>
      <c r="D18" s="77">
        <f>(FUELS!$I$17)</f>
        <v>240</v>
      </c>
      <c r="E18" s="327" t="str">
        <f>IF(E20&lt;(INPUT!$I$11*0.6)," ","System pays off, but should look at life expectancy")</f>
        <v xml:space="preserve"> </v>
      </c>
      <c r="F18" s="327"/>
      <c r="G18" s="327"/>
      <c r="H18" s="327"/>
      <c r="I18" s="327"/>
      <c r="J18" s="62"/>
      <c r="K18" s="7"/>
      <c r="M18" s="161"/>
    </row>
    <row r="19" spans="1:14">
      <c r="A19" s="66"/>
      <c r="B19" s="324" t="s">
        <v>103</v>
      </c>
      <c r="C19" s="324"/>
      <c r="D19" s="78">
        <f>(FUELS!$E$28)</f>
        <v>8.4558823529411757</v>
      </c>
      <c r="E19" s="313" t="str">
        <f>IF(D20&gt;D16,"Presently Pellets are not a good alternative choice","Pellets might be an opportunity to supplement Fuel Oil")</f>
        <v>Pellets might be an opportunity to supplement Fuel Oil</v>
      </c>
      <c r="F19" s="313"/>
      <c r="G19" s="313"/>
      <c r="H19" s="313"/>
      <c r="I19" s="313"/>
      <c r="J19" s="62"/>
      <c r="M19" s="159"/>
      <c r="N19" s="159"/>
    </row>
    <row r="20" spans="1:14">
      <c r="A20" s="66"/>
      <c r="B20" s="79" t="s">
        <v>110</v>
      </c>
      <c r="C20" s="80"/>
      <c r="D20" s="81">
        <f>(FUELS!$H$28)</f>
        <v>2029.4117647058822</v>
      </c>
      <c r="E20" s="203">
        <f>IF(D20&gt;D16,0,(E11/(D16-((D20*0.9)+(D16*0.1)))))</f>
        <v>10.800464967131632</v>
      </c>
      <c r="F20" s="337" t="str">
        <f>IF(E20=0,"NO PAYBACK FOR NOW","Years PAYBACK if using 10% fuel oil")</f>
        <v>Years PAYBACK if using 10% fuel oil</v>
      </c>
      <c r="G20" s="338"/>
      <c r="H20" s="338"/>
      <c r="I20" s="339"/>
      <c r="J20" s="82"/>
      <c r="M20" s="160"/>
    </row>
    <row r="21" spans="1:14">
      <c r="A21" s="83"/>
      <c r="B21" s="84"/>
      <c r="C21" s="84"/>
      <c r="D21" s="84"/>
      <c r="E21" s="340"/>
      <c r="F21" s="340"/>
      <c r="G21" s="340"/>
      <c r="H21" s="340"/>
      <c r="I21" s="340"/>
      <c r="J21" s="82"/>
      <c r="M21" s="159"/>
      <c r="N21" s="159"/>
    </row>
    <row r="22" spans="1:14">
      <c r="A22" s="83"/>
      <c r="B22" s="328" t="s">
        <v>65</v>
      </c>
      <c r="C22" s="328"/>
      <c r="D22" s="86">
        <f>(FUELS!$I$13)</f>
        <v>210</v>
      </c>
      <c r="E22" s="327" t="str">
        <f>IF(E24&lt;(INPUT!$I$11*0.6)," ","System pays off, but should look at life expectancy")</f>
        <v xml:space="preserve"> </v>
      </c>
      <c r="F22" s="327"/>
      <c r="G22" s="327"/>
      <c r="H22" s="327"/>
      <c r="I22" s="327"/>
      <c r="J22" s="82"/>
    </row>
    <row r="23" spans="1:14">
      <c r="A23" s="83"/>
      <c r="B23" s="328" t="s">
        <v>104</v>
      </c>
      <c r="C23" s="328"/>
      <c r="D23" s="87">
        <f>(FUELS!$E$26)</f>
        <v>7.4675324675324672</v>
      </c>
      <c r="E23" s="316" t="str">
        <f>IF(D24&gt;D16,"Presently Wood is not a good alternative choice","Wood might be an opportunity to supplement Fuel Oil")</f>
        <v>Wood might be an opportunity to supplement Fuel Oil</v>
      </c>
      <c r="F23" s="316"/>
      <c r="G23" s="316"/>
      <c r="H23" s="316"/>
      <c r="I23" s="316"/>
      <c r="J23" s="82"/>
    </row>
    <row r="24" spans="1:14">
      <c r="A24" s="83"/>
      <c r="B24" s="79" t="s">
        <v>111</v>
      </c>
      <c r="C24" s="80"/>
      <c r="D24" s="81">
        <f>(FUELS!$H$26)</f>
        <v>1568.181818181818</v>
      </c>
      <c r="E24" s="203">
        <f>IF(D24&gt;D16,0,(G11/(D16-((D24*0.9)+(D16*0.1)))))</f>
        <v>7.7019653290839729</v>
      </c>
      <c r="F24" s="337" t="str">
        <f>IF(E24=0,"NO PAYBACK FOR NOW","Years PAYBACK if using 10% fuel oil")</f>
        <v>Years PAYBACK if using 10% fuel oil</v>
      </c>
      <c r="G24" s="338"/>
      <c r="H24" s="338"/>
      <c r="I24" s="339"/>
      <c r="J24" s="82"/>
    </row>
    <row r="25" spans="1:14">
      <c r="A25" s="83"/>
      <c r="B25" s="85"/>
      <c r="C25" s="85"/>
      <c r="D25" s="87"/>
      <c r="E25" s="172"/>
      <c r="F25" s="173"/>
      <c r="G25" s="173"/>
      <c r="H25" s="173"/>
      <c r="I25" s="174"/>
      <c r="J25" s="82"/>
    </row>
    <row r="26" spans="1:14">
      <c r="A26" s="83"/>
      <c r="B26" s="85"/>
      <c r="C26" s="85"/>
      <c r="D26" s="87"/>
      <c r="E26" s="172"/>
      <c r="F26" s="173"/>
      <c r="G26" s="173"/>
      <c r="H26" s="173"/>
      <c r="I26" s="174"/>
      <c r="J26" s="82"/>
    </row>
    <row r="27" spans="1:14">
      <c r="A27" s="83"/>
      <c r="B27" s="328" t="s">
        <v>66</v>
      </c>
      <c r="C27" s="328"/>
      <c r="D27" s="86">
        <f>(FUELS!$I$19)</f>
        <v>310</v>
      </c>
      <c r="E27" s="327" t="str">
        <f>IF(E29&lt;(INPUT!$I$11*0.6)," ","System pays off, but should look at life expectancy")</f>
        <v xml:space="preserve"> </v>
      </c>
      <c r="F27" s="327"/>
      <c r="G27" s="327"/>
      <c r="H27" s="327"/>
      <c r="I27" s="327"/>
      <c r="J27" s="82"/>
    </row>
    <row r="28" spans="1:14">
      <c r="A28" s="83"/>
      <c r="B28" s="328" t="s">
        <v>105</v>
      </c>
      <c r="C28" s="328"/>
      <c r="D28" s="87">
        <f>(FUELS!$E$29)</f>
        <v>5.75</v>
      </c>
      <c r="E28" s="314" t="str">
        <f>IF(D29&gt;D16,"Presently Coal is not a good alternative choice","Coal might be an opportunity to supplement Fuel Oil")</f>
        <v>Coal might be an opportunity to supplement Fuel Oil</v>
      </c>
      <c r="F28" s="315"/>
      <c r="G28" s="315"/>
      <c r="H28" s="315"/>
      <c r="I28" s="315"/>
      <c r="J28" s="82"/>
    </row>
    <row r="29" spans="1:14">
      <c r="A29" s="83"/>
      <c r="B29" s="88" t="s">
        <v>112</v>
      </c>
      <c r="C29" s="89"/>
      <c r="D29" s="81">
        <f>(FUELS!$H$29)</f>
        <v>1782.5</v>
      </c>
      <c r="E29" s="203">
        <f>IF(D29&gt;D16,0,(F11/(D16-((D29*0.9)+(D16*0.1)))))</f>
        <v>9.7647581003106971</v>
      </c>
      <c r="F29" s="337" t="str">
        <f>(IF(E29=0,"NO PAYBACK FOR NOW","Years PAYBACK if using 10% fuel oil"))</f>
        <v>Years PAYBACK if using 10% fuel oil</v>
      </c>
      <c r="G29" s="338"/>
      <c r="H29" s="338"/>
      <c r="I29" s="339"/>
      <c r="J29" s="82"/>
    </row>
    <row r="30" spans="1:14">
      <c r="A30" s="83"/>
      <c r="B30" s="75"/>
      <c r="C30" s="75"/>
      <c r="D30" s="96"/>
      <c r="E30" s="194"/>
      <c r="F30" s="162"/>
      <c r="G30" s="165"/>
      <c r="H30" s="165"/>
      <c r="I30" s="165"/>
      <c r="J30" s="82"/>
    </row>
    <row r="31" spans="1:14">
      <c r="A31" s="83"/>
      <c r="B31" s="334" t="s">
        <v>151</v>
      </c>
      <c r="C31" s="335"/>
      <c r="D31" s="195">
        <f>(FUELS!$I$21)</f>
        <v>3.18</v>
      </c>
      <c r="E31" s="327" t="str">
        <f>IF(E33&lt;(INPUT!$I$11*0.6)," ","System pays off, but should look at life expectancy")</f>
        <v xml:space="preserve"> </v>
      </c>
      <c r="F31" s="327"/>
      <c r="G31" s="327"/>
      <c r="H31" s="327"/>
      <c r="I31" s="327"/>
      <c r="J31" s="82"/>
    </row>
    <row r="32" spans="1:14">
      <c r="A32" s="83"/>
      <c r="B32" s="328" t="s">
        <v>152</v>
      </c>
      <c r="C32" s="328"/>
      <c r="D32" s="196">
        <f>(FUELS!$E$30)</f>
        <v>1597.2222222222222</v>
      </c>
      <c r="E32" s="312" t="str">
        <f>IF(D33&gt;D16,"Presently Propane is Not a Good Altermative Choice","Propane might be an opportunity to supplement Fuel Oil")</f>
        <v>Presently Propane is Not a Good Altermative Choice</v>
      </c>
      <c r="F32" s="313"/>
      <c r="G32" s="313"/>
      <c r="H32" s="313"/>
      <c r="I32" s="313"/>
      <c r="J32" s="82"/>
    </row>
    <row r="33" spans="1:14">
      <c r="A33" s="83"/>
      <c r="B33" s="329" t="s">
        <v>158</v>
      </c>
      <c r="C33" s="330"/>
      <c r="D33" s="81">
        <f>(FUELS!$H$30)</f>
        <v>5079.166666666667</v>
      </c>
      <c r="E33" s="203">
        <f>IF(D33&gt;D16,0,(H11/(D16-((D33*0.9)+(D16*0.1)))))</f>
        <v>0</v>
      </c>
      <c r="F33" s="337" t="str">
        <f>IF(E33=0,"NO PAYBACK FOR NOW","Years PAYBACK if using 10% fuel oil")</f>
        <v>NO PAYBACK FOR NOW</v>
      </c>
      <c r="G33" s="338"/>
      <c r="H33" s="338"/>
      <c r="I33" s="339"/>
      <c r="J33" s="82"/>
    </row>
    <row r="34" spans="1:14" ht="6.75" customHeight="1" thickBot="1">
      <c r="A34" s="90"/>
      <c r="B34" s="102"/>
      <c r="C34" s="102"/>
      <c r="D34" s="103"/>
      <c r="E34" s="99"/>
      <c r="F34" s="104"/>
      <c r="G34" s="100"/>
      <c r="H34" s="100"/>
      <c r="I34" s="100"/>
      <c r="J34" s="91"/>
    </row>
    <row r="35" spans="1:14" ht="14.25" thickTop="1" thickBo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4" ht="6" customHeight="1" thickTop="1">
      <c r="A36" s="105"/>
      <c r="B36" s="106"/>
      <c r="C36" s="106"/>
      <c r="D36" s="106"/>
      <c r="E36" s="106"/>
      <c r="F36" s="106"/>
      <c r="G36" s="106"/>
      <c r="H36" s="106"/>
      <c r="I36" s="106"/>
      <c r="J36" s="107"/>
      <c r="M36" s="200"/>
    </row>
    <row r="37" spans="1:14" ht="15.75">
      <c r="A37" s="83"/>
      <c r="B37" s="321" t="s">
        <v>157</v>
      </c>
      <c r="C37" s="321"/>
      <c r="D37" s="321"/>
      <c r="E37" s="321"/>
      <c r="F37" s="321"/>
      <c r="G37" s="321"/>
      <c r="H37" s="321"/>
      <c r="I37" s="321"/>
      <c r="J37" s="336"/>
    </row>
    <row r="38" spans="1:14">
      <c r="A38" s="66"/>
      <c r="B38" s="64"/>
      <c r="C38" s="64"/>
      <c r="D38" s="64"/>
      <c r="E38" s="64"/>
      <c r="F38" s="64"/>
      <c r="G38" s="64"/>
      <c r="H38" s="64"/>
      <c r="I38" s="64"/>
      <c r="J38" s="97"/>
    </row>
    <row r="39" spans="1:14">
      <c r="A39" s="83"/>
      <c r="B39" s="84" t="s">
        <v>108</v>
      </c>
      <c r="C39" s="84"/>
      <c r="D39" s="92">
        <f>(INPUT!$I$11)</f>
        <v>20</v>
      </c>
      <c r="E39" s="84"/>
      <c r="F39" s="84"/>
      <c r="G39" s="84"/>
      <c r="H39" s="84"/>
      <c r="I39" s="84"/>
      <c r="J39" s="82"/>
    </row>
    <row r="40" spans="1:14">
      <c r="A40" s="83"/>
      <c r="B40" s="84" t="s">
        <v>106</v>
      </c>
      <c r="C40" s="84"/>
      <c r="D40" s="93">
        <f>(FUELS!$G$5)</f>
        <v>1000</v>
      </c>
      <c r="E40" s="92"/>
      <c r="F40" s="84"/>
      <c r="G40" s="84"/>
      <c r="H40" s="84"/>
      <c r="I40" s="84"/>
      <c r="J40" s="82"/>
    </row>
    <row r="41" spans="1:14">
      <c r="A41" s="83"/>
      <c r="B41" s="85" t="s">
        <v>107</v>
      </c>
      <c r="C41" s="85"/>
      <c r="D41" s="94">
        <f>(FUELS!$G$7)</f>
        <v>3.66</v>
      </c>
      <c r="E41" s="2"/>
      <c r="F41" s="84"/>
      <c r="G41" s="84"/>
      <c r="H41" s="84"/>
      <c r="I41" s="84"/>
      <c r="J41" s="82"/>
    </row>
    <row r="42" spans="1:14">
      <c r="A42" s="83"/>
      <c r="B42" s="75" t="s">
        <v>109</v>
      </c>
      <c r="C42" s="75"/>
      <c r="D42" s="76">
        <f>(FUELS!$H$25)</f>
        <v>3660</v>
      </c>
      <c r="E42" s="2"/>
      <c r="F42" s="65"/>
      <c r="G42" s="65"/>
      <c r="H42" s="65"/>
      <c r="I42" s="65"/>
      <c r="J42" s="62"/>
    </row>
    <row r="43" spans="1:14">
      <c r="A43" s="83"/>
      <c r="B43" s="75"/>
      <c r="C43" s="75"/>
      <c r="D43" s="76"/>
      <c r="E43" s="2"/>
      <c r="F43" s="65"/>
      <c r="G43" s="65"/>
      <c r="H43" s="65"/>
      <c r="I43" s="65"/>
      <c r="J43" s="62"/>
    </row>
    <row r="44" spans="1:14">
      <c r="A44" s="83"/>
      <c r="B44" s="51" t="s">
        <v>64</v>
      </c>
      <c r="C44" s="75"/>
      <c r="D44" s="77">
        <f>(FUELS!$I$17)</f>
        <v>240</v>
      </c>
      <c r="E44" s="327" t="str">
        <f>IF(E46&lt;(INPUT!$I$11*0.6)," ","System pays off, but should look at life expectancy")</f>
        <v xml:space="preserve"> </v>
      </c>
      <c r="F44" s="327"/>
      <c r="G44" s="327"/>
      <c r="H44" s="327"/>
      <c r="I44" s="327"/>
      <c r="J44" s="62"/>
    </row>
    <row r="45" spans="1:14">
      <c r="A45" s="83"/>
      <c r="B45" s="51" t="s">
        <v>115</v>
      </c>
      <c r="C45" s="75"/>
      <c r="D45" s="78">
        <f>(FUELS!$E$28)</f>
        <v>8.4558823529411757</v>
      </c>
      <c r="E45" s="313" t="str">
        <f>IF(D46&gt;D42,"Presently Pellets are Not a Good Alternative Choice","Pellets Might be an Opportunity for Replacing Fuel Oil")</f>
        <v>Pellets Might be an Opportunity for Replacing Fuel Oil</v>
      </c>
      <c r="F45" s="313"/>
      <c r="G45" s="313"/>
      <c r="H45" s="313"/>
      <c r="I45" s="313"/>
      <c r="J45" s="62"/>
    </row>
    <row r="46" spans="1:14">
      <c r="A46" s="66"/>
      <c r="B46" s="79" t="s">
        <v>110</v>
      </c>
      <c r="C46" s="80"/>
      <c r="D46" s="81">
        <f>(FUELS!$H$28)</f>
        <v>2029.4117647058822</v>
      </c>
      <c r="E46" s="203">
        <f>IF(D46&gt;D42,0,E11/(D42-D46))</f>
        <v>9.7204184704184691</v>
      </c>
      <c r="F46" s="331" t="str">
        <f>IF(E46=0,"NO PAYBACK FOR NOW","Years PAYBACK with NO fuel oil used")</f>
        <v>Years PAYBACK with NO fuel oil used</v>
      </c>
      <c r="G46" s="332"/>
      <c r="H46" s="332"/>
      <c r="I46" s="333"/>
      <c r="J46" s="98"/>
      <c r="L46" s="159"/>
      <c r="M46" s="160"/>
      <c r="N46" s="159"/>
    </row>
    <row r="47" spans="1:14">
      <c r="A47" s="66"/>
      <c r="B47" s="27"/>
      <c r="C47" s="27"/>
      <c r="D47" s="96"/>
      <c r="E47" s="163"/>
      <c r="F47" s="164"/>
      <c r="G47" s="165"/>
      <c r="H47" s="166"/>
      <c r="I47" s="165"/>
      <c r="J47" s="98"/>
      <c r="M47" s="160"/>
      <c r="N47" s="159"/>
    </row>
    <row r="48" spans="1:14">
      <c r="A48" s="66"/>
      <c r="B48" s="57" t="s">
        <v>116</v>
      </c>
      <c r="C48" s="27"/>
      <c r="D48" s="86">
        <f>(FUELS!$I$13)</f>
        <v>210</v>
      </c>
      <c r="E48" s="327" t="str">
        <f>IF(E50&lt;(INPUT!$I$11*0.6)," ","System pays off, but should look at life expectancy")</f>
        <v xml:space="preserve"> </v>
      </c>
      <c r="F48" s="327"/>
      <c r="G48" s="327"/>
      <c r="H48" s="327"/>
      <c r="I48" s="327"/>
      <c r="J48" s="98"/>
    </row>
    <row r="49" spans="1:11">
      <c r="A49" s="66"/>
      <c r="B49" s="57" t="s">
        <v>117</v>
      </c>
      <c r="C49" s="27"/>
      <c r="D49" s="87">
        <f>(FUELS!$E$26)</f>
        <v>7.4675324675324672</v>
      </c>
      <c r="E49" s="313" t="str">
        <f>IF(D50&gt;D42,"Presently Wood is Not a Good Alternative Choice","Wood Might be an Opportunity for Replacing Fuel Oil")</f>
        <v>Wood Might be an Opportunity for Replacing Fuel Oil</v>
      </c>
      <c r="F49" s="313"/>
      <c r="G49" s="313"/>
      <c r="H49" s="313"/>
      <c r="I49" s="313"/>
      <c r="J49" s="98"/>
    </row>
    <row r="50" spans="1:11">
      <c r="A50" s="83"/>
      <c r="B50" s="79" t="s">
        <v>113</v>
      </c>
      <c r="C50" s="80"/>
      <c r="D50" s="56">
        <f>(FUELS!$H$26)</f>
        <v>1568.181818181818</v>
      </c>
      <c r="E50" s="203">
        <f>IF(D50&gt;D42,0,G11/(D42-D50))</f>
        <v>6.9317687961755752</v>
      </c>
      <c r="F50" s="331" t="str">
        <f>IF(E50=0,"NO PAYBACK FOR NOW","Years PAYBACK with NO fuel oil used")</f>
        <v>Years PAYBACK with NO fuel oil used</v>
      </c>
      <c r="G50" s="332"/>
      <c r="H50" s="332"/>
      <c r="I50" s="333"/>
      <c r="J50" s="82"/>
      <c r="K50" s="2"/>
    </row>
    <row r="51" spans="1:11">
      <c r="A51" s="83"/>
      <c r="B51" s="27"/>
      <c r="C51" s="27"/>
      <c r="D51" s="71"/>
      <c r="E51" s="167"/>
      <c r="F51" s="173"/>
      <c r="G51" s="173"/>
      <c r="H51" s="173"/>
      <c r="I51" s="174"/>
      <c r="J51" s="62"/>
      <c r="K51" s="2"/>
    </row>
    <row r="52" spans="1:11">
      <c r="A52" s="66"/>
      <c r="B52" s="71" t="s">
        <v>66</v>
      </c>
      <c r="C52" s="27"/>
      <c r="D52" s="77">
        <f>(FUELS!$I$19)</f>
        <v>310</v>
      </c>
      <c r="E52" s="327" t="str">
        <f>IF(E54&lt;(INPUT!$I$11*0.6)," ","System pays off, but should look at life expectancy")</f>
        <v xml:space="preserve"> </v>
      </c>
      <c r="F52" s="327"/>
      <c r="G52" s="327"/>
      <c r="H52" s="327"/>
      <c r="I52" s="327"/>
      <c r="J52" s="62"/>
      <c r="K52" s="2"/>
    </row>
    <row r="53" spans="1:11">
      <c r="A53" s="66"/>
      <c r="B53" s="71" t="s">
        <v>118</v>
      </c>
      <c r="C53" s="27"/>
      <c r="D53" s="78">
        <f>(FUELS!$E$29)</f>
        <v>5.75</v>
      </c>
      <c r="E53" s="313" t="str">
        <f>IF(D54&gt;D42,"Presently Coal is Not a Good Alternative Choice","Coal Might be an Opportunity for Replacing Fuel Oil")</f>
        <v>Coal Might be an Opportunity for Replacing Fuel Oil</v>
      </c>
      <c r="F53" s="313"/>
      <c r="G53" s="313"/>
      <c r="H53" s="313"/>
      <c r="I53" s="313"/>
      <c r="J53" s="62"/>
      <c r="K53" s="2"/>
    </row>
    <row r="54" spans="1:11">
      <c r="A54" s="66"/>
      <c r="B54" s="79" t="s">
        <v>114</v>
      </c>
      <c r="C54" s="95"/>
      <c r="D54" s="56">
        <f>(FUELS!$H$29)</f>
        <v>1782.5</v>
      </c>
      <c r="E54" s="203">
        <f>IF(D54&gt;D42,0,F11/(D42-D54))</f>
        <v>8.7882822902796267</v>
      </c>
      <c r="F54" s="331" t="str">
        <f>IF(E54=0,"NO PAYBACK FOR NOW","Years PAYBACK if NO fuel oil used")</f>
        <v>Years PAYBACK if NO fuel oil used</v>
      </c>
      <c r="G54" s="332"/>
      <c r="H54" s="332"/>
      <c r="I54" s="333"/>
      <c r="J54" s="82"/>
      <c r="K54" s="2"/>
    </row>
    <row r="55" spans="1:11">
      <c r="A55" s="66"/>
      <c r="B55" s="27"/>
      <c r="C55" s="65"/>
      <c r="D55" s="197"/>
      <c r="E55" s="194"/>
      <c r="F55" s="164"/>
      <c r="G55" s="165"/>
      <c r="H55" s="166"/>
      <c r="I55" s="165"/>
      <c r="J55" s="82"/>
      <c r="K55" s="2"/>
    </row>
    <row r="56" spans="1:11">
      <c r="A56" s="66"/>
      <c r="B56" s="334" t="s">
        <v>151</v>
      </c>
      <c r="C56" s="335"/>
      <c r="D56" s="195">
        <f>(FUELS!$I$21)</f>
        <v>3.18</v>
      </c>
      <c r="E56" s="327" t="str">
        <f>IF(E58&lt;(INPUT!$I$11*0.6)," ","System pays off, but should look at life expectancy")</f>
        <v xml:space="preserve"> </v>
      </c>
      <c r="F56" s="327"/>
      <c r="G56" s="327"/>
      <c r="H56" s="327"/>
      <c r="I56" s="327"/>
      <c r="J56" s="82"/>
      <c r="K56" s="2"/>
    </row>
    <row r="57" spans="1:11">
      <c r="A57" s="66"/>
      <c r="B57" s="328" t="s">
        <v>152</v>
      </c>
      <c r="C57" s="328"/>
      <c r="D57" s="196">
        <f>(FUELS!$E$30)</f>
        <v>1597.2222222222222</v>
      </c>
      <c r="E57" s="313" t="str">
        <f>IF(D58&gt;D42,"Presently Propane is Not a Good Alternative Choice","Propanel Might be an Opportunity for Replacing Fuel Oil")</f>
        <v>Presently Propane is Not a Good Alternative Choice</v>
      </c>
      <c r="F57" s="313"/>
      <c r="G57" s="313"/>
      <c r="H57" s="313"/>
      <c r="I57" s="313"/>
      <c r="J57" s="82"/>
      <c r="K57" s="2"/>
    </row>
    <row r="58" spans="1:11">
      <c r="A58" s="66"/>
      <c r="B58" s="329" t="s">
        <v>158</v>
      </c>
      <c r="C58" s="330"/>
      <c r="D58" s="81">
        <f>(FUELS!$H$30)</f>
        <v>5079.166666666667</v>
      </c>
      <c r="E58" s="203">
        <f>IF(D58&gt;D42,0,H11/(D42-D58))</f>
        <v>0</v>
      </c>
      <c r="F58" s="331" t="str">
        <f>IF(E58=0,"NO PAYBACK FOR NOW","Years PAYBACK with NO fuel oil used")</f>
        <v>NO PAYBACK FOR NOW</v>
      </c>
      <c r="G58" s="332"/>
      <c r="H58" s="332"/>
      <c r="I58" s="333"/>
      <c r="J58" s="82"/>
      <c r="K58" s="2"/>
    </row>
    <row r="59" spans="1:11" ht="6.75" customHeight="1" thickBot="1">
      <c r="A59" s="18"/>
      <c r="B59" s="19"/>
      <c r="C59" s="19"/>
      <c r="D59" s="19"/>
      <c r="E59" s="168"/>
      <c r="F59" s="168"/>
      <c r="G59" s="168"/>
      <c r="H59" s="168"/>
      <c r="I59" s="168"/>
      <c r="J59" s="20"/>
    </row>
    <row r="60" spans="1:11" ht="13.5" thickTop="1"/>
  </sheetData>
  <mergeCells count="57">
    <mergeCell ref="F20:I20"/>
    <mergeCell ref="F24:I24"/>
    <mergeCell ref="F29:I29"/>
    <mergeCell ref="E21:I21"/>
    <mergeCell ref="E44:I44"/>
    <mergeCell ref="E48:I48"/>
    <mergeCell ref="E57:I57"/>
    <mergeCell ref="F50:I50"/>
    <mergeCell ref="F54:I54"/>
    <mergeCell ref="B56:C56"/>
    <mergeCell ref="E22:I22"/>
    <mergeCell ref="E27:I27"/>
    <mergeCell ref="E31:I31"/>
    <mergeCell ref="E52:I52"/>
    <mergeCell ref="E56:I56"/>
    <mergeCell ref="E53:I53"/>
    <mergeCell ref="F58:I58"/>
    <mergeCell ref="B31:C31"/>
    <mergeCell ref="B32:C32"/>
    <mergeCell ref="B33:C33"/>
    <mergeCell ref="B37:J37"/>
    <mergeCell ref="F46:I46"/>
    <mergeCell ref="E45:I45"/>
    <mergeCell ref="E49:I49"/>
    <mergeCell ref="F33:I33"/>
    <mergeCell ref="B57:C57"/>
    <mergeCell ref="B28:C28"/>
    <mergeCell ref="B18:C18"/>
    <mergeCell ref="B22:C22"/>
    <mergeCell ref="B27:C27"/>
    <mergeCell ref="B23:C23"/>
    <mergeCell ref="B58:C58"/>
    <mergeCell ref="H9:H10"/>
    <mergeCell ref="B19:C19"/>
    <mergeCell ref="B14:C14"/>
    <mergeCell ref="F9:F10"/>
    <mergeCell ref="G9:G10"/>
    <mergeCell ref="B11:C11"/>
    <mergeCell ref="B13:C13"/>
    <mergeCell ref="B15:C15"/>
    <mergeCell ref="E18:I18"/>
    <mergeCell ref="A2:I2"/>
    <mergeCell ref="D4:D5"/>
    <mergeCell ref="E4:E5"/>
    <mergeCell ref="F4:F5"/>
    <mergeCell ref="G4:G5"/>
    <mergeCell ref="H4:H5"/>
    <mergeCell ref="B6:C6"/>
    <mergeCell ref="B7:C7"/>
    <mergeCell ref="E32:I32"/>
    <mergeCell ref="E28:I28"/>
    <mergeCell ref="E23:I23"/>
    <mergeCell ref="E19:I19"/>
    <mergeCell ref="B8:C8"/>
    <mergeCell ref="B9:C10"/>
    <mergeCell ref="D9:D10"/>
    <mergeCell ref="E9:E10"/>
  </mergeCells>
  <phoneticPr fontId="0" type="noConversion"/>
  <conditionalFormatting sqref="F46:I46">
    <cfRule type="cellIs" dxfId="6" priority="1" stopIfTrue="1" operator="lessThan">
      <formula>0</formula>
    </cfRule>
  </conditionalFormatting>
  <conditionalFormatting sqref="F33:I33">
    <cfRule type="expression" dxfId="5" priority="2" stopIfTrue="1">
      <formula>"NO PAYBACK FOR NOW"</formula>
    </cfRule>
  </conditionalFormatting>
  <conditionalFormatting sqref="F20:I20">
    <cfRule type="expression" dxfId="4" priority="3" stopIfTrue="1">
      <formula>"NO PAYBACK FOR NOW"</formula>
    </cfRule>
  </conditionalFormatting>
  <printOptions horizontalCentered="1"/>
  <pageMargins left="0.25" right="0.25" top="0.2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43"/>
  <sheetViews>
    <sheetView topLeftCell="A13" workbookViewId="0">
      <selection activeCell="N38" sqref="N38"/>
    </sheetView>
  </sheetViews>
  <sheetFormatPr defaultRowHeight="12.75"/>
  <cols>
    <col min="1" max="1" width="2.5703125" customWidth="1"/>
    <col min="8" max="8" width="9" customWidth="1"/>
    <col min="9" max="9" width="11" customWidth="1"/>
    <col min="10" max="10" width="10.140625" customWidth="1"/>
    <col min="11" max="11" width="10.85546875" customWidth="1"/>
    <col min="12" max="12" width="10.140625" customWidth="1"/>
    <col min="15" max="15" width="2.28515625" customWidth="1"/>
  </cols>
  <sheetData>
    <row r="1" spans="1:15" ht="9" customHeight="1" thickTop="1">
      <c r="A1" s="55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3"/>
    </row>
    <row r="2" spans="1:15" ht="13.5" customHeight="1">
      <c r="A2" s="16"/>
      <c r="B2" s="352" t="s">
        <v>78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258" t="str">
        <f>(INPUT!$E$4)</f>
        <v>John Q. Public</v>
      </c>
      <c r="N2" s="258"/>
      <c r="O2" s="17"/>
    </row>
    <row r="3" spans="1:15" ht="12.75" customHeight="1">
      <c r="A3" s="16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258"/>
      <c r="N3" s="258"/>
      <c r="O3" s="17"/>
    </row>
    <row r="4" spans="1:15" ht="18">
      <c r="A4" s="1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6"/>
      <c r="N4" s="37"/>
      <c r="O4" s="17"/>
    </row>
    <row r="5" spans="1:15">
      <c r="A5" s="16"/>
      <c r="B5" s="275" t="s">
        <v>79</v>
      </c>
      <c r="C5" s="275"/>
      <c r="D5" s="275"/>
      <c r="E5" s="117">
        <f>(INPUT!$I$6)</f>
        <v>1000</v>
      </c>
      <c r="F5" s="48" t="s">
        <v>68</v>
      </c>
      <c r="G5" s="48"/>
      <c r="H5" s="353" t="s">
        <v>80</v>
      </c>
      <c r="I5" s="353"/>
      <c r="J5" s="353"/>
      <c r="K5" s="118">
        <f>(FUELS!$G$9)</f>
        <v>3660</v>
      </c>
      <c r="L5" s="2"/>
      <c r="M5" s="2"/>
      <c r="N5" s="2"/>
      <c r="O5" s="17"/>
    </row>
    <row r="6" spans="1:15">
      <c r="A6" s="1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7"/>
    </row>
    <row r="7" spans="1:15" ht="15.75">
      <c r="A7" s="16"/>
      <c r="B7" s="354" t="s">
        <v>81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17"/>
    </row>
    <row r="8" spans="1:15">
      <c r="A8" s="1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7"/>
    </row>
    <row r="9" spans="1:15" ht="29.25" customHeight="1" thickBot="1">
      <c r="A9" s="16"/>
      <c r="B9" s="2"/>
      <c r="C9" s="392" t="s">
        <v>21</v>
      </c>
      <c r="D9" s="393"/>
      <c r="E9" s="394"/>
      <c r="F9" s="381" t="s">
        <v>22</v>
      </c>
      <c r="G9" s="382"/>
      <c r="H9" s="189" t="s">
        <v>23</v>
      </c>
      <c r="I9" s="189" t="s">
        <v>82</v>
      </c>
      <c r="J9" s="190" t="s">
        <v>83</v>
      </c>
      <c r="K9" s="369" t="s">
        <v>123</v>
      </c>
      <c r="L9" s="370"/>
      <c r="M9" s="371"/>
      <c r="O9" s="17"/>
    </row>
    <row r="10" spans="1:15">
      <c r="A10" s="16"/>
      <c r="B10" s="2"/>
      <c r="C10" s="395" t="s">
        <v>84</v>
      </c>
      <c r="D10" s="396"/>
      <c r="E10" s="397"/>
      <c r="F10" s="113">
        <f>E5</f>
        <v>1000</v>
      </c>
      <c r="G10" s="135" t="s">
        <v>24</v>
      </c>
      <c r="H10" s="206">
        <f>K5</f>
        <v>3660</v>
      </c>
      <c r="I10" s="399"/>
      <c r="J10" s="400"/>
      <c r="K10" s="400"/>
      <c r="L10" s="400"/>
      <c r="M10" s="401"/>
      <c r="O10" s="17"/>
    </row>
    <row r="11" spans="1:15">
      <c r="A11" s="16"/>
      <c r="B11" s="2"/>
      <c r="C11" s="398" t="s">
        <v>85</v>
      </c>
      <c r="D11" s="332"/>
      <c r="E11" s="333"/>
      <c r="F11" s="114">
        <f>(FUELS!$E$26)</f>
        <v>7.4675324675324672</v>
      </c>
      <c r="G11" s="136" t="s">
        <v>25</v>
      </c>
      <c r="H11" s="133">
        <f>(FUELS!$H$26)</f>
        <v>1568.181818181818</v>
      </c>
      <c r="I11" s="204">
        <f>(FUELS!$E$35)</f>
        <v>2091.818181818182</v>
      </c>
      <c r="J11" s="205">
        <f>(FUELS!$H$35)</f>
        <v>0.57153502235469456</v>
      </c>
      <c r="K11" s="188">
        <f>IF(H11&gt;H10,0,I11/12)</f>
        <v>174.31818181818184</v>
      </c>
      <c r="L11" s="344" t="str">
        <f>IF(K11&lt;=0,"COSTS MORE PER MONTH","SAVINGS PER MONTH")</f>
        <v>SAVINGS PER MONTH</v>
      </c>
      <c r="M11" s="345"/>
      <c r="O11" s="17"/>
    </row>
    <row r="12" spans="1:15">
      <c r="A12" s="16"/>
      <c r="B12" s="2"/>
      <c r="C12" s="383" t="s">
        <v>5</v>
      </c>
      <c r="D12" s="384"/>
      <c r="E12" s="385"/>
      <c r="F12" s="115">
        <f>(FUELS!$E$27)</f>
        <v>34431.137724550899</v>
      </c>
      <c r="G12" s="136" t="s">
        <v>26</v>
      </c>
      <c r="H12" s="133">
        <f>(FUELS!$H$27)</f>
        <v>3580.8383233532932</v>
      </c>
      <c r="I12" s="204">
        <f>(FUELS!$E$36)</f>
        <v>79.161676646706837</v>
      </c>
      <c r="J12" s="205">
        <f>(FUELS!$H$36)</f>
        <v>2.1628873400739573E-2</v>
      </c>
      <c r="K12" s="188">
        <f>IF(H12&gt;H10,0,I12/12)</f>
        <v>6.5968063872255698</v>
      </c>
      <c r="L12" s="344" t="str">
        <f>IF(K12&lt;=0,"COSTS MORE PER MONTH","SAVINGS PER MONTH")</f>
        <v>SAVINGS PER MONTH</v>
      </c>
      <c r="M12" s="345"/>
      <c r="O12" s="17"/>
    </row>
    <row r="13" spans="1:15">
      <c r="A13" s="16"/>
      <c r="B13" s="2"/>
      <c r="C13" s="383" t="s">
        <v>86</v>
      </c>
      <c r="D13" s="384"/>
      <c r="E13" s="385"/>
      <c r="F13" s="114">
        <f>(FUELS!$E$28)</f>
        <v>8.4558823529411757</v>
      </c>
      <c r="G13" s="136" t="s">
        <v>27</v>
      </c>
      <c r="H13" s="133">
        <f>(FUELS!$H$28)</f>
        <v>2029.4117647058822</v>
      </c>
      <c r="I13" s="204">
        <f>(FUELS!$E$37)</f>
        <v>1630.5882352941178</v>
      </c>
      <c r="J13" s="205">
        <f>(FUELS!$H$37)</f>
        <v>0.44551591128254586</v>
      </c>
      <c r="K13" s="188">
        <f>IF(H13&gt;H10,0,I13/12)</f>
        <v>135.88235294117649</v>
      </c>
      <c r="L13" s="344" t="str">
        <f>IF(K13&lt;=0,"COSTS MORE PER MONTH","SAVINGS PER MONTH")</f>
        <v>SAVINGS PER MONTH</v>
      </c>
      <c r="M13" s="345"/>
      <c r="O13" s="17"/>
    </row>
    <row r="14" spans="1:15">
      <c r="A14" s="16"/>
      <c r="B14" s="2"/>
      <c r="C14" s="383" t="s">
        <v>87</v>
      </c>
      <c r="D14" s="384"/>
      <c r="E14" s="385"/>
      <c r="F14" s="119">
        <f>(FUELS!$E$29)</f>
        <v>5.75</v>
      </c>
      <c r="G14" s="137" t="s">
        <v>27</v>
      </c>
      <c r="H14" s="134">
        <f>(FUELS!$H$29)</f>
        <v>1782.5</v>
      </c>
      <c r="I14" s="204">
        <f>(FUELS!$E$38)</f>
        <v>1877.5</v>
      </c>
      <c r="J14" s="205">
        <f>(FUELS!$H$38)</f>
        <v>0.51297814207650272</v>
      </c>
      <c r="K14" s="188">
        <f>IF(H14&gt;H10,0,I14/12)</f>
        <v>156.45833333333334</v>
      </c>
      <c r="L14" s="344" t="str">
        <f>IF(K14&lt;=0,"COSTS MORE PER MONTH","SAVINGS PER MONTH")</f>
        <v>SAVINGS PER MONTH</v>
      </c>
      <c r="M14" s="345"/>
      <c r="O14" s="17"/>
    </row>
    <row r="15" spans="1:15">
      <c r="A15" s="16"/>
      <c r="B15" s="2"/>
      <c r="C15" s="383" t="s">
        <v>142</v>
      </c>
      <c r="D15" s="384"/>
      <c r="E15" s="385"/>
      <c r="F15" s="119">
        <f>(FUELS!$E$30)</f>
        <v>1597.2222222222222</v>
      </c>
      <c r="G15" s="175" t="s">
        <v>24</v>
      </c>
      <c r="H15" s="134">
        <f>(FUELS!$H$30)</f>
        <v>5079.166666666667</v>
      </c>
      <c r="I15" s="204" t="str">
        <f>(FUELS!$E$39)</f>
        <v>COSTS MORE</v>
      </c>
      <c r="J15" s="205" t="str">
        <f>(FUELS!$H$39)</f>
        <v>N0 SAVINGS</v>
      </c>
      <c r="K15" s="188">
        <f>IF(H15&gt;H10,0,I15/12)</f>
        <v>0</v>
      </c>
      <c r="L15" s="344" t="str">
        <f>IF(K15&lt;=0,"COSTS MORE PER MONTH","SAVINGS PER MONTH")</f>
        <v>COSTS MORE PER MONTH</v>
      </c>
      <c r="M15" s="345"/>
      <c r="N15" s="2"/>
      <c r="O15" s="17"/>
    </row>
    <row r="16" spans="1:15">
      <c r="A16" s="16"/>
      <c r="B16" s="2"/>
      <c r="C16" s="25"/>
      <c r="D16" s="181"/>
      <c r="E16" s="170"/>
      <c r="F16" s="182"/>
      <c r="G16" s="183"/>
      <c r="H16" s="184"/>
      <c r="I16" s="185"/>
      <c r="J16" s="186"/>
      <c r="K16" s="187"/>
      <c r="L16" s="26"/>
      <c r="M16" s="2"/>
      <c r="N16" s="2"/>
      <c r="O16" s="17"/>
    </row>
    <row r="17" spans="1:15">
      <c r="A17" s="16"/>
      <c r="B17" s="386" t="s">
        <v>155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73">
        <f>((INPUT!$I$8/BTU!$G$6)*(BTU!$G$9))</f>
        <v>432.83478260869566</v>
      </c>
      <c r="M17" s="376" t="s">
        <v>20</v>
      </c>
      <c r="N17" s="191"/>
      <c r="O17" s="17"/>
    </row>
    <row r="18" spans="1:15">
      <c r="A18" s="16"/>
      <c r="B18" s="388"/>
      <c r="C18" s="389"/>
      <c r="D18" s="389"/>
      <c r="E18" s="389"/>
      <c r="F18" s="389"/>
      <c r="G18" s="389"/>
      <c r="H18" s="389"/>
      <c r="I18" s="389"/>
      <c r="J18" s="389"/>
      <c r="K18" s="389"/>
      <c r="L18" s="374"/>
      <c r="M18" s="377"/>
      <c r="N18" s="192"/>
      <c r="O18" s="17"/>
    </row>
    <row r="19" spans="1:15">
      <c r="A19" s="16"/>
      <c r="B19" s="390"/>
      <c r="C19" s="391"/>
      <c r="D19" s="391"/>
      <c r="E19" s="391"/>
      <c r="F19" s="391"/>
      <c r="G19" s="391"/>
      <c r="H19" s="391"/>
      <c r="I19" s="391"/>
      <c r="J19" s="391"/>
      <c r="K19" s="391"/>
      <c r="L19" s="375"/>
      <c r="M19" s="378"/>
      <c r="N19" s="193"/>
      <c r="O19" s="17"/>
    </row>
    <row r="20" spans="1:15" ht="15.75">
      <c r="A20" s="16"/>
      <c r="B20" s="358" t="s">
        <v>121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60"/>
      <c r="O20" s="17"/>
    </row>
    <row r="21" spans="1:15">
      <c r="A21" s="16"/>
      <c r="B21" s="402" t="s">
        <v>166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4"/>
      <c r="O21" s="17"/>
    </row>
    <row r="22" spans="1:15">
      <c r="A22" s="16"/>
      <c r="B22" s="351" t="s">
        <v>125</v>
      </c>
      <c r="C22" s="254"/>
      <c r="D22" s="254"/>
      <c r="E22" s="254"/>
      <c r="F22" s="254"/>
      <c r="G22" s="254"/>
      <c r="H22" s="364">
        <f>IF(PAYBACK!$E$46&lt;0,"NO PAYBACK",PAYBACK!$E$46)</f>
        <v>9.7204184704184691</v>
      </c>
      <c r="I22" s="269"/>
      <c r="J22" s="2" t="s">
        <v>69</v>
      </c>
      <c r="K22" s="346" t="str">
        <f>IF(H22=0,"Currently will not pay for itself","System has a positive feedback")</f>
        <v>System has a positive feedback</v>
      </c>
      <c r="L22" s="347"/>
      <c r="M22" s="347"/>
      <c r="N22" s="348"/>
      <c r="O22" s="17"/>
    </row>
    <row r="23" spans="1:15">
      <c r="A23" s="16"/>
      <c r="B23" s="351" t="s">
        <v>126</v>
      </c>
      <c r="C23" s="254"/>
      <c r="D23" s="254"/>
      <c r="E23" s="254"/>
      <c r="F23" s="254"/>
      <c r="G23" s="254"/>
      <c r="H23" s="364">
        <f>IF(PAYBACK!$E$54&lt;0,"NO PAYBACK",PAYBACK!$E$54)</f>
        <v>8.7882822902796267</v>
      </c>
      <c r="I23" s="269"/>
      <c r="J23" s="2" t="s">
        <v>69</v>
      </c>
      <c r="K23" s="346" t="str">
        <f>IF(H23=0,"Currently will not pay for itself","System has a positive feedback")</f>
        <v>System has a positive feedback</v>
      </c>
      <c r="L23" s="347"/>
      <c r="M23" s="347"/>
      <c r="N23" s="348"/>
      <c r="O23" s="17"/>
    </row>
    <row r="24" spans="1:15">
      <c r="A24" s="16"/>
      <c r="B24" s="351" t="s">
        <v>127</v>
      </c>
      <c r="C24" s="254"/>
      <c r="D24" s="254"/>
      <c r="E24" s="254"/>
      <c r="F24" s="254"/>
      <c r="G24" s="254"/>
      <c r="H24" s="405">
        <f>IF(PAYBACK!$E$50&lt;0,"NO PAYBACK",PAYBACK!$E$50)</f>
        <v>6.9317687961755752</v>
      </c>
      <c r="I24" s="406"/>
      <c r="J24" s="2" t="s">
        <v>69</v>
      </c>
      <c r="K24" s="346" t="str">
        <f>IF(H24=0,"Currently will not pay for itself","System has a positive feedback")</f>
        <v>System has a positive feedback</v>
      </c>
      <c r="L24" s="347"/>
      <c r="M24" s="347"/>
      <c r="N24" s="348"/>
      <c r="O24" s="17"/>
    </row>
    <row r="25" spans="1:15">
      <c r="A25" s="16"/>
      <c r="B25" s="351" t="s">
        <v>153</v>
      </c>
      <c r="C25" s="254"/>
      <c r="D25" s="254"/>
      <c r="E25" s="254"/>
      <c r="F25" s="254"/>
      <c r="G25" s="254"/>
      <c r="H25" s="379">
        <f>IF(PAYBACK!$E$58&lt;0,"NO PAYBACK PRESENTLY",PAYBACK!$E$58)</f>
        <v>0</v>
      </c>
      <c r="I25" s="380"/>
      <c r="J25" s="2" t="s">
        <v>69</v>
      </c>
      <c r="K25" s="346" t="str">
        <f>IF(H25=0,"Currently will not pay for itself","System has a positive feedback")</f>
        <v>Currently will not pay for itself</v>
      </c>
      <c r="L25" s="347"/>
      <c r="M25" s="347"/>
      <c r="N25" s="348"/>
      <c r="O25" s="17"/>
    </row>
    <row r="26" spans="1:15" ht="6.75" customHeight="1">
      <c r="A26" s="16"/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4"/>
      <c r="O26" s="17"/>
    </row>
    <row r="27" spans="1:15" ht="15.75">
      <c r="A27" s="16"/>
      <c r="B27" s="358" t="s">
        <v>122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60"/>
      <c r="O27" s="17"/>
    </row>
    <row r="28" spans="1:15">
      <c r="A28" s="16"/>
      <c r="B28" s="402" t="s">
        <v>166</v>
      </c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4"/>
      <c r="O28" s="17"/>
    </row>
    <row r="29" spans="1:15">
      <c r="A29" s="16"/>
      <c r="B29" s="350" t="s">
        <v>95</v>
      </c>
      <c r="C29" s="254"/>
      <c r="D29" s="254"/>
      <c r="E29" s="254"/>
      <c r="F29" s="254"/>
      <c r="G29" s="254"/>
      <c r="H29" s="364">
        <f>(PAYBACK!$E$20)</f>
        <v>10.800464967131632</v>
      </c>
      <c r="I29" s="269"/>
      <c r="J29" s="2" t="s">
        <v>69</v>
      </c>
      <c r="K29" s="346" t="str">
        <f>IF(H29=0,"Currently will not pay for itself","System has a positive payback")</f>
        <v>System has a positive payback</v>
      </c>
      <c r="L29" s="347"/>
      <c r="M29" s="347"/>
      <c r="N29" s="348"/>
      <c r="O29" s="17"/>
    </row>
    <row r="30" spans="1:15">
      <c r="A30" s="16"/>
      <c r="B30" s="351" t="s">
        <v>96</v>
      </c>
      <c r="C30" s="254"/>
      <c r="D30" s="254"/>
      <c r="E30" s="254"/>
      <c r="F30" s="254"/>
      <c r="G30" s="254"/>
      <c r="H30" s="364">
        <f>PAYBACK!$E$29</f>
        <v>9.7647581003106971</v>
      </c>
      <c r="I30" s="269"/>
      <c r="J30" s="2" t="s">
        <v>69</v>
      </c>
      <c r="K30" s="346" t="str">
        <f>IF(H30=0,"Currently will not pay for itself","System has a positive payback")</f>
        <v>System has a positive payback</v>
      </c>
      <c r="L30" s="347"/>
      <c r="M30" s="347"/>
      <c r="N30" s="348"/>
      <c r="O30" s="17"/>
    </row>
    <row r="31" spans="1:15">
      <c r="A31" s="16"/>
      <c r="B31" s="350" t="s">
        <v>97</v>
      </c>
      <c r="C31" s="254"/>
      <c r="D31" s="254"/>
      <c r="E31" s="254"/>
      <c r="F31" s="254"/>
      <c r="G31" s="254"/>
      <c r="H31" s="364">
        <f>(PAYBACK!$E$24)</f>
        <v>7.7019653290839729</v>
      </c>
      <c r="I31" s="269"/>
      <c r="J31" s="2" t="s">
        <v>69</v>
      </c>
      <c r="K31" s="346" t="str">
        <f>IF(H31=0,"Currently will not pay for itself","System has a positive payback")</f>
        <v>System has a positive payback</v>
      </c>
      <c r="L31" s="347"/>
      <c r="M31" s="347"/>
      <c r="N31" s="348"/>
      <c r="O31" s="17"/>
    </row>
    <row r="32" spans="1:15">
      <c r="A32" s="16"/>
      <c r="B32" s="350" t="s">
        <v>154</v>
      </c>
      <c r="C32" s="254"/>
      <c r="D32" s="254"/>
      <c r="E32" s="254"/>
      <c r="F32" s="254"/>
      <c r="G32" s="254"/>
      <c r="H32" s="364">
        <f>(PAYBACK!$E$33)</f>
        <v>0</v>
      </c>
      <c r="I32" s="372"/>
      <c r="J32" s="2" t="s">
        <v>69</v>
      </c>
      <c r="K32" s="346" t="str">
        <f>IF(H32=0,"Currently will not pay for itself","System has a positive payback")</f>
        <v>Currently will not pay for itself</v>
      </c>
      <c r="L32" s="347"/>
      <c r="M32" s="347"/>
      <c r="N32" s="348"/>
      <c r="O32" s="17"/>
    </row>
    <row r="33" spans="1:15" ht="7.5" customHeight="1">
      <c r="A33" s="16"/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4"/>
      <c r="O33" s="17"/>
    </row>
    <row r="34" spans="1:15" ht="15.75">
      <c r="A34" s="16"/>
      <c r="B34" s="361" t="s">
        <v>124</v>
      </c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3"/>
      <c r="O34" s="17"/>
    </row>
    <row r="35" spans="1:15">
      <c r="A35" s="16"/>
      <c r="B35" s="12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21"/>
      <c r="O35" s="17"/>
    </row>
    <row r="36" spans="1:15" ht="15">
      <c r="A36" s="16"/>
      <c r="B36" s="365" t="s">
        <v>88</v>
      </c>
      <c r="C36" s="356"/>
      <c r="D36" s="356"/>
      <c r="E36" s="368">
        <f>(INPUT!$D$51)</f>
        <v>10000</v>
      </c>
      <c r="F36" s="368"/>
      <c r="G36" s="355" t="s">
        <v>89</v>
      </c>
      <c r="H36" s="356"/>
      <c r="I36" s="356"/>
      <c r="J36" s="357">
        <f>(INPUT!$J$51)</f>
        <v>7</v>
      </c>
      <c r="K36" s="357"/>
      <c r="L36" s="116"/>
      <c r="M36" s="116"/>
      <c r="N36" s="125"/>
      <c r="O36" s="17"/>
    </row>
    <row r="37" spans="1:15">
      <c r="A37" s="16"/>
      <c r="B37" s="126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127"/>
      <c r="O37" s="17"/>
    </row>
    <row r="38" spans="1:15" ht="15">
      <c r="A38" s="16"/>
      <c r="B38" s="365" t="s">
        <v>90</v>
      </c>
      <c r="C38" s="355"/>
      <c r="D38" s="355"/>
      <c r="E38" s="366">
        <f>(INPUT!$G$51)</f>
        <v>5.5E-2</v>
      </c>
      <c r="F38" s="366"/>
      <c r="G38" s="355" t="s">
        <v>91</v>
      </c>
      <c r="H38" s="356"/>
      <c r="I38" s="356"/>
      <c r="J38" s="349">
        <f>(AMORTIZATION!$C$13)</f>
        <v>1759.6441777285604</v>
      </c>
      <c r="K38" s="349"/>
      <c r="L38" s="58"/>
      <c r="M38" s="58"/>
      <c r="N38" s="127"/>
      <c r="O38" s="17"/>
    </row>
    <row r="39" spans="1:15">
      <c r="A39" s="16"/>
      <c r="B39" s="126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127"/>
      <c r="O39" s="17"/>
    </row>
    <row r="40" spans="1:15">
      <c r="A40" s="16"/>
      <c r="B40" s="365" t="s">
        <v>92</v>
      </c>
      <c r="C40" s="355"/>
      <c r="D40" s="355"/>
      <c r="E40" s="367">
        <f>(J38/12)</f>
        <v>146.63701481071337</v>
      </c>
      <c r="F40" s="367"/>
      <c r="G40" s="341" t="s">
        <v>167</v>
      </c>
      <c r="H40" s="342"/>
      <c r="I40" s="342"/>
      <c r="J40" s="342"/>
      <c r="K40" s="342"/>
      <c r="L40" s="342"/>
      <c r="M40" s="342"/>
      <c r="N40" s="343"/>
      <c r="O40" s="17"/>
    </row>
    <row r="41" spans="1:15" ht="6.75" customHeight="1">
      <c r="A41" s="16"/>
      <c r="B41" s="128"/>
      <c r="C41" s="129"/>
      <c r="D41" s="129"/>
      <c r="E41" s="130"/>
      <c r="F41" s="130"/>
      <c r="G41" s="131"/>
      <c r="H41" s="131"/>
      <c r="I41" s="131"/>
      <c r="J41" s="131"/>
      <c r="K41" s="131"/>
      <c r="L41" s="131"/>
      <c r="M41" s="131"/>
      <c r="N41" s="132"/>
      <c r="O41" s="17"/>
    </row>
    <row r="42" spans="1:15" ht="13.5" thickBo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</row>
    <row r="43" spans="1:15" ht="13.5" thickTop="1"/>
  </sheetData>
  <mergeCells count="63">
    <mergeCell ref="H30:I30"/>
    <mergeCell ref="H31:I31"/>
    <mergeCell ref="B27:N27"/>
    <mergeCell ref="K25:N25"/>
    <mergeCell ref="B21:N21"/>
    <mergeCell ref="B28:N28"/>
    <mergeCell ref="H24:I24"/>
    <mergeCell ref="H29:I29"/>
    <mergeCell ref="H22:I22"/>
    <mergeCell ref="B22:G22"/>
    <mergeCell ref="B23:G23"/>
    <mergeCell ref="B24:G24"/>
    <mergeCell ref="K23:N23"/>
    <mergeCell ref="K24:N24"/>
    <mergeCell ref="C13:E13"/>
    <mergeCell ref="C14:E14"/>
    <mergeCell ref="C15:E15"/>
    <mergeCell ref="B17:K19"/>
    <mergeCell ref="C9:E9"/>
    <mergeCell ref="C10:E10"/>
    <mergeCell ref="C11:E11"/>
    <mergeCell ref="C12:E12"/>
    <mergeCell ref="I10:M10"/>
    <mergeCell ref="L13:M13"/>
    <mergeCell ref="K9:M9"/>
    <mergeCell ref="H32:I32"/>
    <mergeCell ref="B25:G25"/>
    <mergeCell ref="B32:G32"/>
    <mergeCell ref="L15:M15"/>
    <mergeCell ref="L17:L19"/>
    <mergeCell ref="M17:M19"/>
    <mergeCell ref="H25:I25"/>
    <mergeCell ref="F9:G9"/>
    <mergeCell ref="B20:N20"/>
    <mergeCell ref="B34:N34"/>
    <mergeCell ref="H23:I23"/>
    <mergeCell ref="K22:N22"/>
    <mergeCell ref="B40:D40"/>
    <mergeCell ref="E38:F38"/>
    <mergeCell ref="E40:F40"/>
    <mergeCell ref="B36:D36"/>
    <mergeCell ref="E36:F36"/>
    <mergeCell ref="B38:D38"/>
    <mergeCell ref="B2:L3"/>
    <mergeCell ref="B5:D5"/>
    <mergeCell ref="H5:J5"/>
    <mergeCell ref="B7:N7"/>
    <mergeCell ref="M2:N3"/>
    <mergeCell ref="G38:I38"/>
    <mergeCell ref="B31:G31"/>
    <mergeCell ref="L11:M11"/>
    <mergeCell ref="L12:M12"/>
    <mergeCell ref="G36:I36"/>
    <mergeCell ref="G40:N40"/>
    <mergeCell ref="L14:M14"/>
    <mergeCell ref="K32:N32"/>
    <mergeCell ref="K31:N31"/>
    <mergeCell ref="K30:N30"/>
    <mergeCell ref="K29:N29"/>
    <mergeCell ref="J38:K38"/>
    <mergeCell ref="B29:G29"/>
    <mergeCell ref="B30:G30"/>
    <mergeCell ref="J36:K36"/>
  </mergeCells>
  <phoneticPr fontId="0" type="noConversion"/>
  <conditionalFormatting sqref="K11:K15 I11:J14">
    <cfRule type="cellIs" dxfId="3" priority="1" stopIfTrue="1" operator="lessThan">
      <formula>0</formula>
    </cfRule>
  </conditionalFormatting>
  <conditionalFormatting sqref="H22:H24 H29:H31">
    <cfRule type="cellIs" dxfId="2" priority="2" stopIfTrue="1" operator="lessThanOrEqual">
      <formula>0</formula>
    </cfRule>
  </conditionalFormatting>
  <conditionalFormatting sqref="I15:J15">
    <cfRule type="cellIs" dxfId="1" priority="3" stopIfTrue="1" operator="lessThanOrEqual">
      <formula>0</formula>
    </cfRule>
  </conditionalFormatting>
  <conditionalFormatting sqref="H25:I25">
    <cfRule type="cellIs" dxfId="0" priority="4" stopIfTrue="1" operator="lessThanOrEqual">
      <formula>0</formula>
    </cfRule>
  </conditionalFormatting>
  <printOptions horizontalCentered="1" verticalCentered="1"/>
  <pageMargins left="0.5" right="0.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13"/>
  <sheetViews>
    <sheetView zoomScaleNormal="100" workbookViewId="0">
      <selection activeCell="C13" sqref="C13"/>
    </sheetView>
  </sheetViews>
  <sheetFormatPr defaultRowHeight="12.75"/>
  <cols>
    <col min="3" max="3" width="12.5703125" customWidth="1"/>
    <col min="5" max="5" width="12.42578125" customWidth="1"/>
    <col min="6" max="6" width="13.42578125" customWidth="1"/>
    <col min="7" max="7" width="20.85546875" customWidth="1"/>
  </cols>
  <sheetData>
    <row r="1" spans="1:7">
      <c r="A1" s="407" t="s">
        <v>38</v>
      </c>
      <c r="B1" s="408"/>
      <c r="C1" s="408"/>
      <c r="D1" s="408"/>
      <c r="E1" s="408"/>
      <c r="F1" s="408"/>
      <c r="G1" s="408"/>
    </row>
    <row r="2" spans="1:7">
      <c r="A2" s="409"/>
      <c r="B2" s="409"/>
      <c r="C2" s="409"/>
      <c r="D2" s="409"/>
      <c r="E2" s="409"/>
      <c r="F2" s="409"/>
      <c r="G2" s="409"/>
    </row>
    <row r="3" spans="1:7">
      <c r="A3" s="415" t="s">
        <v>129</v>
      </c>
      <c r="B3" s="415"/>
      <c r="C3" s="415"/>
      <c r="D3" s="415"/>
      <c r="E3" s="415"/>
      <c r="F3" s="415"/>
      <c r="G3" s="415"/>
    </row>
    <row r="4" spans="1:7">
      <c r="B4" s="148"/>
      <c r="C4" s="417"/>
      <c r="D4" s="417"/>
      <c r="E4" s="417"/>
      <c r="F4" s="417"/>
      <c r="G4" s="417"/>
    </row>
    <row r="5" spans="1:7" ht="15.75">
      <c r="A5" s="8" t="s">
        <v>39</v>
      </c>
      <c r="B5" s="9"/>
      <c r="C5" s="10"/>
      <c r="D5" s="11"/>
      <c r="E5" s="8"/>
      <c r="F5" s="12"/>
      <c r="G5" s="11"/>
    </row>
    <row r="6" spans="1:7">
      <c r="A6" s="410" t="s">
        <v>40</v>
      </c>
      <c r="B6" s="411"/>
      <c r="C6" s="149">
        <f>(INPUT!$D$51)</f>
        <v>10000</v>
      </c>
      <c r="D6" s="414" t="s">
        <v>49</v>
      </c>
      <c r="E6" s="418"/>
      <c r="F6" s="418"/>
      <c r="G6" s="418"/>
    </row>
    <row r="7" spans="1:7">
      <c r="B7" s="7" t="s">
        <v>41</v>
      </c>
      <c r="C7" s="150">
        <f>(INPUT!$G$51)</f>
        <v>5.5E-2</v>
      </c>
      <c r="D7" s="414" t="s">
        <v>50</v>
      </c>
      <c r="E7" s="418"/>
      <c r="F7" s="418"/>
      <c r="G7" s="418"/>
    </row>
    <row r="8" spans="1:7">
      <c r="B8" s="7" t="s">
        <v>42</v>
      </c>
      <c r="C8" s="151">
        <f>(INPUT!$J$51)</f>
        <v>7</v>
      </c>
      <c r="D8" s="419" t="s">
        <v>47</v>
      </c>
      <c r="E8" s="419"/>
      <c r="F8" s="419"/>
      <c r="G8" s="419"/>
    </row>
    <row r="9" spans="1:7">
      <c r="B9" s="7" t="s">
        <v>43</v>
      </c>
      <c r="C9" s="152">
        <v>1</v>
      </c>
      <c r="D9" s="414" t="s">
        <v>48</v>
      </c>
      <c r="E9" s="414"/>
      <c r="F9" s="414"/>
      <c r="G9" s="414"/>
    </row>
    <row r="10" spans="1:7">
      <c r="B10" s="7"/>
      <c r="C10" s="153"/>
    </row>
    <row r="11" spans="1:7" ht="15.75">
      <c r="A11" s="412" t="s">
        <v>44</v>
      </c>
      <c r="B11" s="413"/>
      <c r="C11" s="413"/>
      <c r="D11" s="413"/>
      <c r="E11" s="413"/>
      <c r="F11" s="413"/>
      <c r="G11" s="413"/>
    </row>
    <row r="13" spans="1:7" outlineLevel="1">
      <c r="B13" s="7" t="s">
        <v>45</v>
      </c>
      <c r="C13" s="13">
        <f>PMT(Periodic_rate,Total_payments,-Loan_amount)</f>
        <v>1759.6441777285604</v>
      </c>
      <c r="D13" s="416" t="s">
        <v>46</v>
      </c>
      <c r="E13" s="416"/>
    </row>
  </sheetData>
  <mergeCells count="10">
    <mergeCell ref="A1:G2"/>
    <mergeCell ref="A6:B6"/>
    <mergeCell ref="A11:G11"/>
    <mergeCell ref="D9:G9"/>
    <mergeCell ref="A3:G3"/>
    <mergeCell ref="D13:E13"/>
    <mergeCell ref="C4:G4"/>
    <mergeCell ref="D6:G6"/>
    <mergeCell ref="D7:G7"/>
    <mergeCell ref="D8:G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INSTRUCTIONS</vt:lpstr>
      <vt:lpstr>BTU</vt:lpstr>
      <vt:lpstr>FUELS</vt:lpstr>
      <vt:lpstr>INPUT</vt:lpstr>
      <vt:lpstr>PAYBACK</vt:lpstr>
      <vt:lpstr>ANALYSIS</vt:lpstr>
      <vt:lpstr>AMORTIZATION</vt:lpstr>
      <vt:lpstr>Annual_interest_rate</vt:lpstr>
      <vt:lpstr>Loan_amount</vt:lpstr>
      <vt:lpstr>Payments_per_year</vt:lpstr>
      <vt:lpstr>ANALYSIS!Print_Area</vt:lpstr>
      <vt:lpstr>FUELS!Print_Area</vt:lpstr>
      <vt:lpstr>INPUT!Print_Area</vt:lpstr>
      <vt:lpstr>PAYBACK!Print_Area</vt:lpstr>
      <vt:lpstr>Term_in_years</vt:lpstr>
    </vt:vector>
  </TitlesOfParts>
  <Company>Southern Aroostook Development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A. McLaughlin</dc:creator>
  <cp:lastModifiedBy>meisensmith</cp:lastModifiedBy>
  <cp:lastPrinted>2011-09-12T21:16:51Z</cp:lastPrinted>
  <dcterms:created xsi:type="dcterms:W3CDTF">2011-03-31T13:17:45Z</dcterms:created>
  <dcterms:modified xsi:type="dcterms:W3CDTF">2012-02-09T15:10:54Z</dcterms:modified>
</cp:coreProperties>
</file>