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codeName="ThisWorkbook" autoCompressPictures="0"/>
  <bookViews>
    <workbookView xWindow="5540" yWindow="0" windowWidth="39900" windowHeight="23720" tabRatio="849"/>
  </bookViews>
  <sheets>
    <sheet name="Matrix" sheetId="3" r:id="rId1"/>
    <sheet name="Analysis" sheetId="11" r:id="rId2"/>
    <sheet name="Benchmark" sheetId="6" r:id="rId3"/>
    <sheet name="Notes" sheetId="10" r:id="rId4"/>
    <sheet name="Financial Ratios" sheetId="9" r:id="rId5"/>
    <sheet name="Data Set" sheetId="7" r:id="rId6"/>
    <sheet name="2000 LMI" sheetId="5" r:id="rId7"/>
    <sheet name="Wastewater Systems" sheetId="1" r:id="rId8"/>
    <sheet name="Water Systems" sheetId="2" r:id="rId9"/>
    <sheet name="Water Rates_20130227" sheetId="4" r:id="rId10"/>
  </sheets>
  <externalReferences>
    <externalReference r:id="rId11"/>
  </externalReferences>
  <definedNames>
    <definedName name="_xlnm.Print_Area" localSheetId="2">Benchmark!$A$1:$Q$74</definedName>
    <definedName name="_xlnm.Print_Area" localSheetId="5">'Data Set'!$B$1:$I$30</definedName>
    <definedName name="_xlnm.Print_Area" localSheetId="4">'Financial Ratios'!$A$1:$C$19</definedName>
    <definedName name="_xlnm.Print_Area" localSheetId="0">Matrix!$A$1:$DO$26</definedName>
    <definedName name="_xlnm.Print_Area" localSheetId="3">Notes!$A$1:$B$47</definedName>
    <definedName name="_xlnm.Print_Titles" localSheetId="0">Matrix!$B:$B,Matrix!$1:$2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X12" i="3" l="1"/>
  <c r="D4" i="4"/>
  <c r="D5" i="4"/>
  <c r="D6" i="4"/>
  <c r="D7" i="4"/>
  <c r="D8" i="4"/>
  <c r="D9" i="4"/>
  <c r="D10" i="4"/>
  <c r="D11" i="4"/>
  <c r="D12" i="4"/>
  <c r="D13" i="4"/>
  <c r="D14" i="4"/>
  <c r="D15" i="4"/>
  <c r="D16" i="4"/>
  <c r="D17" i="4"/>
  <c r="D18" i="4"/>
  <c r="D19" i="4"/>
  <c r="D20" i="4"/>
  <c r="D21" i="4"/>
  <c r="D22" i="4"/>
  <c r="D23" i="4"/>
  <c r="D24" i="4"/>
  <c r="D25" i="4"/>
  <c r="D26" i="4"/>
  <c r="D27" i="4"/>
  <c r="D28" i="4"/>
  <c r="D29"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5" i="4"/>
  <c r="D164"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63" i="4"/>
  <c r="D162" i="4"/>
  <c r="C162" i="4"/>
  <c r="C163" i="4"/>
  <c r="E146" i="2"/>
  <c r="E255" i="2"/>
  <c r="H25" i="11"/>
  <c r="H24" i="11"/>
  <c r="H23" i="11"/>
  <c r="H22" i="11"/>
  <c r="H21" i="11"/>
  <c r="H20" i="11"/>
  <c r="H19" i="11"/>
  <c r="H18" i="11"/>
  <c r="H17" i="11"/>
  <c r="H16" i="11"/>
  <c r="H15" i="11"/>
  <c r="H14" i="11"/>
  <c r="H13" i="11"/>
  <c r="H12" i="11"/>
  <c r="H11" i="11"/>
  <c r="H10" i="11"/>
  <c r="H9" i="11"/>
  <c r="H8" i="11"/>
  <c r="H7" i="11"/>
  <c r="H6" i="11"/>
  <c r="H5" i="11"/>
  <c r="H4" i="11"/>
  <c r="H3" i="11"/>
  <c r="J3" i="6"/>
  <c r="BX25" i="3"/>
  <c r="BZ25" i="3"/>
  <c r="CA25" i="3"/>
  <c r="BX24" i="3"/>
  <c r="BZ24" i="3"/>
  <c r="CA24" i="3"/>
  <c r="BX23" i="3"/>
  <c r="BZ23" i="3"/>
  <c r="CA23" i="3"/>
  <c r="BX22" i="3"/>
  <c r="BZ22" i="3"/>
  <c r="CA22" i="3"/>
  <c r="BX21" i="3"/>
  <c r="BZ21" i="3"/>
  <c r="CA21" i="3"/>
  <c r="BX20" i="3"/>
  <c r="BZ20" i="3"/>
  <c r="CA20" i="3"/>
  <c r="BX19" i="3"/>
  <c r="BZ19" i="3"/>
  <c r="CA19" i="3"/>
  <c r="BX18" i="3"/>
  <c r="BZ18" i="3"/>
  <c r="CA18" i="3"/>
  <c r="BX17" i="3"/>
  <c r="BZ17" i="3"/>
  <c r="CA17" i="3"/>
  <c r="BX16" i="3"/>
  <c r="BZ16" i="3"/>
  <c r="CA16" i="3"/>
  <c r="BX15" i="3"/>
  <c r="BX14" i="3"/>
  <c r="BZ14" i="3"/>
  <c r="CA14" i="3"/>
  <c r="BX13" i="3"/>
  <c r="BZ13" i="3"/>
  <c r="CA13" i="3"/>
  <c r="BZ12" i="3"/>
  <c r="CA12" i="3"/>
  <c r="BX11" i="3"/>
  <c r="BZ11" i="3"/>
  <c r="CA11" i="3"/>
  <c r="BX10" i="3"/>
  <c r="BZ10" i="3"/>
  <c r="CA10" i="3"/>
  <c r="BX9" i="3"/>
  <c r="BZ9" i="3"/>
  <c r="CA9" i="3"/>
  <c r="BX8" i="3"/>
  <c r="BZ8" i="3"/>
  <c r="CA8" i="3"/>
  <c r="BX7" i="3"/>
  <c r="BZ7" i="3"/>
  <c r="CA7" i="3"/>
  <c r="BX6" i="3"/>
  <c r="BZ6" i="3"/>
  <c r="CA6" i="3"/>
  <c r="BX5" i="3"/>
  <c r="BZ5" i="3"/>
  <c r="CA5" i="3"/>
  <c r="BX4" i="3"/>
  <c r="BZ4" i="3"/>
  <c r="CA4" i="3"/>
  <c r="BX3" i="3"/>
  <c r="BZ3" i="3"/>
  <c r="CA3" i="3"/>
  <c r="BP11" i="3"/>
  <c r="BX26" i="3"/>
  <c r="BX29" i="3"/>
  <c r="BZ15" i="3"/>
  <c r="CA15" i="3"/>
  <c r="CA26" i="3"/>
  <c r="BX30" i="3"/>
  <c r="BX28" i="3"/>
  <c r="BA25" i="3"/>
  <c r="BA24" i="3"/>
  <c r="BA23" i="3"/>
  <c r="BA21" i="3"/>
  <c r="BA19" i="3"/>
  <c r="BA17" i="3"/>
  <c r="BA16" i="3"/>
  <c r="BA15" i="3"/>
  <c r="BA14" i="3"/>
  <c r="BA12" i="3"/>
  <c r="BA11" i="3"/>
  <c r="BA10" i="3"/>
  <c r="BA9" i="3"/>
  <c r="DB7" i="3"/>
  <c r="X13" i="3"/>
  <c r="BA13" i="3"/>
  <c r="X22" i="3"/>
  <c r="BA22" i="3"/>
  <c r="BY25" i="3"/>
  <c r="BY24" i="3"/>
  <c r="BY23" i="3"/>
  <c r="BY22" i="3"/>
  <c r="BY21" i="3"/>
  <c r="BY20" i="3"/>
  <c r="BY19" i="3"/>
  <c r="BY18" i="3"/>
  <c r="BY17" i="3"/>
  <c r="BY16" i="3"/>
  <c r="BY15" i="3"/>
  <c r="BY14" i="3"/>
  <c r="BY13" i="3"/>
  <c r="BY12" i="3"/>
  <c r="BY11" i="3"/>
  <c r="BY10" i="3"/>
  <c r="BY9" i="3"/>
  <c r="BY7" i="3"/>
  <c r="BY6" i="3"/>
  <c r="BY5" i="3"/>
  <c r="BY4" i="3"/>
  <c r="BY3" i="3"/>
  <c r="BS30" i="3"/>
  <c r="BO26" i="3"/>
  <c r="DA26" i="3"/>
  <c r="CZ26" i="3"/>
  <c r="CY26" i="3"/>
  <c r="CS26" i="3"/>
  <c r="CR26" i="3"/>
  <c r="DB3" i="3"/>
  <c r="DB25" i="3"/>
  <c r="DB24" i="3"/>
  <c r="DB23" i="3"/>
  <c r="DB22" i="3"/>
  <c r="DB21" i="3"/>
  <c r="DB20" i="3"/>
  <c r="DB19" i="3"/>
  <c r="DB18" i="3"/>
  <c r="DB17" i="3"/>
  <c r="DB16" i="3"/>
  <c r="DB15" i="3"/>
  <c r="DB14" i="3"/>
  <c r="DB13" i="3"/>
  <c r="DB12" i="3"/>
  <c r="DB11" i="3"/>
  <c r="DB10" i="3"/>
  <c r="DB9" i="3"/>
  <c r="DB8" i="3"/>
  <c r="DB6" i="3"/>
  <c r="DB5" i="3"/>
  <c r="DB4" i="3"/>
  <c r="CX10" i="3"/>
  <c r="CV10" i="3"/>
  <c r="CU10" i="3"/>
  <c r="CK10" i="3"/>
  <c r="BJ25" i="3"/>
  <c r="BJ24" i="3"/>
  <c r="BJ23" i="3"/>
  <c r="BJ22" i="3"/>
  <c r="BJ21" i="3"/>
  <c r="BJ20" i="3"/>
  <c r="BJ19" i="3"/>
  <c r="BJ18" i="3"/>
  <c r="BJ17" i="3"/>
  <c r="BJ16" i="3"/>
  <c r="BJ15" i="3"/>
  <c r="BJ14" i="3"/>
  <c r="BJ13" i="3"/>
  <c r="BJ12" i="3"/>
  <c r="BJ11" i="3"/>
  <c r="BJ10" i="3"/>
  <c r="BJ9" i="3"/>
  <c r="BJ8" i="3"/>
  <c r="BJ7" i="3"/>
  <c r="BJ6" i="3"/>
  <c r="BJ5" i="3"/>
  <c r="BJ4" i="3"/>
  <c r="BJ3" i="3"/>
  <c r="AP16" i="3"/>
  <c r="AP8" i="3"/>
  <c r="AP25" i="3"/>
  <c r="AP23" i="3"/>
  <c r="AP20" i="3"/>
  <c r="AP15" i="3"/>
  <c r="V25" i="3"/>
  <c r="V24" i="3"/>
  <c r="V23" i="3"/>
  <c r="V22" i="3"/>
  <c r="V21" i="3"/>
  <c r="V20" i="3"/>
  <c r="V19" i="3"/>
  <c r="V18" i="3"/>
  <c r="V17" i="3"/>
  <c r="V16" i="3"/>
  <c r="V15" i="3"/>
  <c r="V14" i="3"/>
  <c r="V13" i="3"/>
  <c r="V12" i="3"/>
  <c r="V11" i="3"/>
  <c r="V10" i="3"/>
  <c r="V9" i="3"/>
  <c r="V8" i="3"/>
  <c r="V7" i="3"/>
  <c r="V6" i="3"/>
  <c r="V5" i="3"/>
  <c r="V4" i="3"/>
  <c r="V3" i="3"/>
  <c r="AV13" i="3"/>
  <c r="AY13" i="3"/>
  <c r="AZ13" i="3"/>
  <c r="A12" i="6"/>
  <c r="A11" i="6"/>
  <c r="A10" i="6"/>
  <c r="A9" i="6"/>
  <c r="AW25" i="3"/>
  <c r="AX25" i="3"/>
  <c r="AW24" i="3"/>
  <c r="AX24" i="3"/>
  <c r="AW23" i="3"/>
  <c r="AX23" i="3"/>
  <c r="AW22" i="3"/>
  <c r="AX22" i="3"/>
  <c r="AW21" i="3"/>
  <c r="AX21" i="3"/>
  <c r="AW20" i="3"/>
  <c r="AX20" i="3"/>
  <c r="AW19" i="3"/>
  <c r="AX19" i="3"/>
  <c r="AW17" i="3"/>
  <c r="AX17" i="3"/>
  <c r="AW16" i="3"/>
  <c r="AX16" i="3"/>
  <c r="AW15" i="3"/>
  <c r="AX15" i="3"/>
  <c r="AW14" i="3"/>
  <c r="AX14" i="3"/>
  <c r="AW13" i="3"/>
  <c r="AX13" i="3"/>
  <c r="AW12" i="3"/>
  <c r="AX12" i="3"/>
  <c r="AW11" i="3"/>
  <c r="AX11" i="3"/>
  <c r="AW10" i="3"/>
  <c r="AX10" i="3"/>
  <c r="AW9" i="3"/>
  <c r="AX9" i="3"/>
  <c r="AW8" i="3"/>
  <c r="AX8" i="3"/>
  <c r="AW7" i="3"/>
  <c r="AX7" i="3"/>
  <c r="AW6" i="3"/>
  <c r="AX6" i="3"/>
  <c r="AW5" i="3"/>
  <c r="AX5" i="3"/>
  <c r="AW4" i="3"/>
  <c r="AX4" i="3"/>
  <c r="AW3" i="3"/>
  <c r="AX3" i="3"/>
  <c r="AV23" i="3"/>
  <c r="AY23" i="3"/>
  <c r="AZ23" i="3"/>
  <c r="BB23" i="3"/>
  <c r="BC23" i="3"/>
  <c r="G78" i="11"/>
  <c r="M78" i="11"/>
  <c r="P26" i="3"/>
  <c r="M26" i="3"/>
  <c r="U26" i="3"/>
  <c r="AH26" i="3"/>
  <c r="AK26" i="3"/>
  <c r="AO26" i="3"/>
  <c r="AT26" i="3"/>
  <c r="AU26" i="3"/>
  <c r="BE26" i="3"/>
  <c r="BG26" i="3"/>
  <c r="BI26" i="3"/>
  <c r="BN26" i="3"/>
  <c r="BQ26" i="3"/>
  <c r="BR26" i="3"/>
  <c r="BS26" i="3"/>
  <c r="BV26" i="3"/>
  <c r="CB26" i="3"/>
  <c r="CC26" i="3"/>
  <c r="CD26" i="3"/>
  <c r="CE26" i="3"/>
  <c r="CF26" i="3"/>
  <c r="CG26" i="3"/>
  <c r="CH26" i="3"/>
  <c r="CT26" i="3"/>
  <c r="Z25" i="3"/>
  <c r="Z24" i="3"/>
  <c r="Z23" i="3"/>
  <c r="Z22" i="3"/>
  <c r="Z21" i="3"/>
  <c r="Z20" i="3"/>
  <c r="Z19" i="3"/>
  <c r="Z18" i="3"/>
  <c r="Z17" i="3"/>
  <c r="Z16" i="3"/>
  <c r="Z15" i="3"/>
  <c r="Z14" i="3"/>
  <c r="Z13" i="3"/>
  <c r="Z12" i="3"/>
  <c r="Z11" i="3"/>
  <c r="Z10" i="3"/>
  <c r="Z9" i="3"/>
  <c r="Z8" i="3"/>
  <c r="Z7" i="3"/>
  <c r="Z6" i="3"/>
  <c r="Z5" i="3"/>
  <c r="Z4" i="3"/>
  <c r="Z3" i="3"/>
  <c r="R25" i="3"/>
  <c r="R24" i="3"/>
  <c r="R23" i="3"/>
  <c r="R22" i="3"/>
  <c r="R21" i="3"/>
  <c r="R20" i="3"/>
  <c r="R19" i="3"/>
  <c r="R18" i="3"/>
  <c r="R17" i="3"/>
  <c r="R16" i="3"/>
  <c r="R15" i="3"/>
  <c r="R14" i="3"/>
  <c r="R13" i="3"/>
  <c r="R12" i="3"/>
  <c r="R11" i="3"/>
  <c r="R10" i="3"/>
  <c r="R9" i="3"/>
  <c r="R8" i="3"/>
  <c r="R7" i="3"/>
  <c r="R6" i="3"/>
  <c r="R5" i="3"/>
  <c r="R4" i="3"/>
  <c r="R3" i="3"/>
  <c r="AC25" i="3"/>
  <c r="AC24" i="3"/>
  <c r="AC23" i="3"/>
  <c r="AC22" i="3"/>
  <c r="AC21" i="3"/>
  <c r="AC20" i="3"/>
  <c r="AC19" i="3"/>
  <c r="AC18" i="3"/>
  <c r="AC17" i="3"/>
  <c r="AC16" i="3"/>
  <c r="AC15" i="3"/>
  <c r="AC14" i="3"/>
  <c r="AC13" i="3"/>
  <c r="AC12" i="3"/>
  <c r="AC11" i="3"/>
  <c r="AC10" i="3"/>
  <c r="AC9" i="3"/>
  <c r="AC8" i="3"/>
  <c r="AC7" i="3"/>
  <c r="AC6" i="3"/>
  <c r="AC5" i="3"/>
  <c r="AC4" i="3"/>
  <c r="AC3" i="3"/>
  <c r="BB24" i="3"/>
  <c r="BC24" i="3"/>
  <c r="C36" i="6"/>
  <c r="C35" i="6"/>
  <c r="C34" i="6"/>
  <c r="C33" i="6"/>
  <c r="J61" i="6"/>
  <c r="BD25" i="3"/>
  <c r="BD24" i="3"/>
  <c r="BD23" i="3"/>
  <c r="BD22" i="3"/>
  <c r="BD21" i="3"/>
  <c r="BD20" i="3"/>
  <c r="BD19" i="3"/>
  <c r="BD18" i="3"/>
  <c r="BD17" i="3"/>
  <c r="BD16" i="3"/>
  <c r="BD15" i="3"/>
  <c r="BD14" i="3"/>
  <c r="BD13" i="3"/>
  <c r="BD12" i="3"/>
  <c r="BD11" i="3"/>
  <c r="BD10" i="3"/>
  <c r="BD9" i="3"/>
  <c r="BD8" i="3"/>
  <c r="BD7" i="3"/>
  <c r="BD6" i="3"/>
  <c r="BD5" i="3"/>
  <c r="BD4" i="3"/>
  <c r="BD3" i="3"/>
  <c r="BB13" i="3"/>
  <c r="BC13" i="3"/>
  <c r="G63" i="11"/>
  <c r="M63" i="11"/>
  <c r="X4" i="3"/>
  <c r="BA4" i="3"/>
  <c r="AV5" i="3"/>
  <c r="AY5" i="3"/>
  <c r="AZ5" i="3"/>
  <c r="AV4" i="3"/>
  <c r="AY4" i="3"/>
  <c r="AZ4" i="3"/>
  <c r="AV3" i="3"/>
  <c r="AY3" i="3"/>
  <c r="AZ3" i="3"/>
  <c r="BM25" i="3"/>
  <c r="CN25" i="3"/>
  <c r="CO25" i="3"/>
  <c r="BM24" i="3"/>
  <c r="CN24" i="3"/>
  <c r="CO24" i="3"/>
  <c r="BM23" i="3"/>
  <c r="CN23" i="3"/>
  <c r="CO23" i="3"/>
  <c r="BM22" i="3"/>
  <c r="CN22" i="3"/>
  <c r="CO22" i="3"/>
  <c r="BM21" i="3"/>
  <c r="CN21" i="3"/>
  <c r="CO21" i="3"/>
  <c r="BM20" i="3"/>
  <c r="CN20" i="3"/>
  <c r="CO20" i="3"/>
  <c r="BM19" i="3"/>
  <c r="CN19" i="3"/>
  <c r="CO19" i="3"/>
  <c r="BM17" i="3"/>
  <c r="CN17" i="3"/>
  <c r="CO17" i="3"/>
  <c r="BM16" i="3"/>
  <c r="CN16" i="3"/>
  <c r="CO16" i="3"/>
  <c r="BM15" i="3"/>
  <c r="CN15" i="3"/>
  <c r="CO15" i="3"/>
  <c r="BM14" i="3"/>
  <c r="CN14" i="3"/>
  <c r="CO14" i="3"/>
  <c r="BM13" i="3"/>
  <c r="CN13" i="3"/>
  <c r="CO13" i="3"/>
  <c r="BM12" i="3"/>
  <c r="CN12" i="3"/>
  <c r="CO12" i="3"/>
  <c r="BM11" i="3"/>
  <c r="CN11" i="3"/>
  <c r="CO11" i="3"/>
  <c r="BM10" i="3"/>
  <c r="CN10" i="3"/>
  <c r="CO10" i="3"/>
  <c r="BM9" i="3"/>
  <c r="CN9" i="3"/>
  <c r="CO9" i="3"/>
  <c r="BM8" i="3"/>
  <c r="CN8" i="3"/>
  <c r="CO8" i="3"/>
  <c r="BM7" i="3"/>
  <c r="CN7" i="3"/>
  <c r="CO7" i="3"/>
  <c r="BM6" i="3"/>
  <c r="CN6" i="3"/>
  <c r="CO6" i="3"/>
  <c r="BM5" i="3"/>
  <c r="CN5" i="3"/>
  <c r="CO5" i="3"/>
  <c r="BM4" i="3"/>
  <c r="CN4" i="3"/>
  <c r="CO4" i="3"/>
  <c r="BM3" i="3"/>
  <c r="L9" i="10"/>
  <c r="G9" i="10"/>
  <c r="L8" i="10"/>
  <c r="L10" i="10"/>
  <c r="G8" i="10"/>
  <c r="G10" i="10"/>
  <c r="L4" i="10"/>
  <c r="G4" i="10"/>
  <c r="L3" i="10"/>
  <c r="G3" i="10"/>
  <c r="L2" i="10"/>
  <c r="L6" i="10"/>
  <c r="G2" i="10"/>
  <c r="G6" i="10"/>
  <c r="CN3" i="3"/>
  <c r="CO3" i="3"/>
  <c r="H4" i="10"/>
  <c r="I4" i="10"/>
  <c r="H3" i="10"/>
  <c r="I3" i="10"/>
  <c r="H2" i="10"/>
  <c r="I2" i="10"/>
  <c r="H9" i="10"/>
  <c r="I9" i="10"/>
  <c r="H8" i="10"/>
  <c r="I8" i="10"/>
  <c r="M3" i="10"/>
  <c r="N3" i="10"/>
  <c r="M4" i="10"/>
  <c r="N4" i="10"/>
  <c r="M9" i="10"/>
  <c r="N9" i="10"/>
  <c r="M2" i="10"/>
  <c r="N2" i="10"/>
  <c r="M8" i="10"/>
  <c r="N8" i="10"/>
  <c r="N10" i="10"/>
  <c r="N6" i="10"/>
  <c r="I10" i="10"/>
  <c r="I6" i="10"/>
  <c r="CU8" i="3"/>
  <c r="AV25" i="3"/>
  <c r="AY25" i="3"/>
  <c r="AZ25" i="3"/>
  <c r="AV24" i="3"/>
  <c r="AY24" i="3"/>
  <c r="AZ24" i="3"/>
  <c r="G72" i="11"/>
  <c r="M72" i="11"/>
  <c r="AV22" i="3"/>
  <c r="AY22" i="3"/>
  <c r="AZ22" i="3"/>
  <c r="AV21" i="3"/>
  <c r="AY21" i="3"/>
  <c r="AZ21" i="3"/>
  <c r="AV20" i="3"/>
  <c r="AY20" i="3"/>
  <c r="AZ20" i="3"/>
  <c r="AV19" i="3"/>
  <c r="AY19" i="3"/>
  <c r="AZ19" i="3"/>
  <c r="AV17" i="3"/>
  <c r="AY17" i="3"/>
  <c r="AZ17" i="3"/>
  <c r="AV16" i="3"/>
  <c r="AY16" i="3"/>
  <c r="AZ16" i="3"/>
  <c r="AV15" i="3"/>
  <c r="AY15" i="3"/>
  <c r="AZ15" i="3"/>
  <c r="AV14" i="3"/>
  <c r="AY14" i="3"/>
  <c r="AZ14" i="3"/>
  <c r="AV12" i="3"/>
  <c r="AY12" i="3"/>
  <c r="AZ12" i="3"/>
  <c r="AV11" i="3"/>
  <c r="AY11" i="3"/>
  <c r="AZ11" i="3"/>
  <c r="AV10" i="3"/>
  <c r="AY10" i="3"/>
  <c r="AZ10" i="3"/>
  <c r="AV9" i="3"/>
  <c r="AY9" i="3"/>
  <c r="AZ9" i="3"/>
  <c r="AV8" i="3"/>
  <c r="AY8" i="3"/>
  <c r="AZ8" i="3"/>
  <c r="AV7" i="3"/>
  <c r="AY7" i="3"/>
  <c r="AZ7" i="3"/>
  <c r="AV6" i="3"/>
  <c r="CX3" i="3"/>
  <c r="CV3" i="3"/>
  <c r="CU3" i="3"/>
  <c r="BP3" i="3"/>
  <c r="AN3" i="3"/>
  <c r="AP3" i="3"/>
  <c r="AY6" i="3"/>
  <c r="AZ6" i="3"/>
  <c r="BB10" i="3"/>
  <c r="BC10" i="3"/>
  <c r="G58" i="11"/>
  <c r="M58" i="11"/>
  <c r="BB9" i="3"/>
  <c r="BC9" i="3"/>
  <c r="G70" i="11"/>
  <c r="M70" i="11"/>
  <c r="J18" i="3"/>
  <c r="AW18" i="3"/>
  <c r="AW26" i="3"/>
  <c r="J26" i="3"/>
  <c r="BM18" i="3"/>
  <c r="BB25" i="3"/>
  <c r="BC25" i="3"/>
  <c r="G77" i="11"/>
  <c r="M77" i="11"/>
  <c r="BB22" i="3"/>
  <c r="BC22" i="3"/>
  <c r="G75" i="11"/>
  <c r="M75" i="11"/>
  <c r="BB21" i="3"/>
  <c r="BC21" i="3"/>
  <c r="G74" i="11"/>
  <c r="M74" i="11"/>
  <c r="BB19" i="3"/>
  <c r="BC19" i="3"/>
  <c r="G73" i="11"/>
  <c r="M73" i="11"/>
  <c r="BB17" i="3"/>
  <c r="BC17" i="3"/>
  <c r="G69" i="11"/>
  <c r="M69" i="11"/>
  <c r="BB16" i="3"/>
  <c r="BC16" i="3"/>
  <c r="G68" i="11"/>
  <c r="M68" i="11"/>
  <c r="BB15" i="3"/>
  <c r="BC15" i="3"/>
  <c r="G61" i="11"/>
  <c r="M61" i="11"/>
  <c r="BB14" i="3"/>
  <c r="BC14" i="3"/>
  <c r="G65" i="11"/>
  <c r="M65" i="11"/>
  <c r="BB12" i="3"/>
  <c r="BC12" i="3"/>
  <c r="G60" i="11"/>
  <c r="M60" i="11"/>
  <c r="BB11" i="3"/>
  <c r="BC11" i="3"/>
  <c r="G66" i="11"/>
  <c r="M66" i="11"/>
  <c r="BA8" i="3"/>
  <c r="BB8" i="3"/>
  <c r="BC8" i="3"/>
  <c r="G62" i="11"/>
  <c r="M62" i="11"/>
  <c r="BA5" i="3"/>
  <c r="BB5" i="3"/>
  <c r="BC5" i="3"/>
  <c r="G59" i="11"/>
  <c r="M59" i="11"/>
  <c r="BB4" i="3"/>
  <c r="BA3" i="3"/>
  <c r="X6" i="3"/>
  <c r="I24" i="3"/>
  <c r="I13" i="3"/>
  <c r="BC4" i="3"/>
  <c r="G56" i="11"/>
  <c r="M56" i="11"/>
  <c r="CN18" i="3"/>
  <c r="BM26" i="3"/>
  <c r="CN26" i="3"/>
  <c r="CO18" i="3"/>
  <c r="I26" i="3"/>
  <c r="BB3" i="3"/>
  <c r="I41" i="6"/>
  <c r="I42" i="6"/>
  <c r="I43" i="6"/>
  <c r="I40" i="6"/>
  <c r="BA6" i="3"/>
  <c r="BB6" i="3"/>
  <c r="BC6" i="3"/>
  <c r="G64" i="11"/>
  <c r="M64" i="11"/>
  <c r="K18" i="3"/>
  <c r="L18" i="3"/>
  <c r="N18" i="3"/>
  <c r="O18" i="3"/>
  <c r="Q18" i="3"/>
  <c r="AN18" i="3"/>
  <c r="AP18" i="3"/>
  <c r="AR18" i="3"/>
  <c r="F71" i="11"/>
  <c r="L71" i="11"/>
  <c r="AS18" i="3"/>
  <c r="BA18" i="3"/>
  <c r="BH18" i="3"/>
  <c r="BK18" i="3"/>
  <c r="BL18" i="3"/>
  <c r="BP18" i="3"/>
  <c r="BT18" i="3"/>
  <c r="BU18" i="3"/>
  <c r="CI18" i="3"/>
  <c r="CJ18" i="3"/>
  <c r="CK18" i="3"/>
  <c r="CL18" i="3"/>
  <c r="CM18" i="3"/>
  <c r="CP18" i="3"/>
  <c r="CQ18" i="3"/>
  <c r="K19" i="3"/>
  <c r="L19" i="3"/>
  <c r="N19" i="3"/>
  <c r="O19" i="3"/>
  <c r="Q19" i="3"/>
  <c r="AN19" i="3"/>
  <c r="AP19" i="3"/>
  <c r="AR19" i="3"/>
  <c r="BH19" i="3"/>
  <c r="BK19" i="3"/>
  <c r="BL19" i="3"/>
  <c r="BP19" i="3"/>
  <c r="BT19" i="3"/>
  <c r="BU19" i="3"/>
  <c r="CI19" i="3"/>
  <c r="CJ19" i="3"/>
  <c r="CK19" i="3"/>
  <c r="CL19" i="3"/>
  <c r="CM19" i="3"/>
  <c r="CU19" i="3"/>
  <c r="CV19" i="3"/>
  <c r="CW19" i="3"/>
  <c r="CX19" i="3"/>
  <c r="K20" i="3"/>
  <c r="L20" i="3"/>
  <c r="N20" i="3"/>
  <c r="O20" i="3"/>
  <c r="Q20" i="3"/>
  <c r="X20" i="3"/>
  <c r="AR20" i="3"/>
  <c r="F76" i="11"/>
  <c r="L76" i="11"/>
  <c r="BH20" i="3"/>
  <c r="BK20" i="3"/>
  <c r="BL20" i="3"/>
  <c r="BP20" i="3"/>
  <c r="BT20" i="3"/>
  <c r="BU20" i="3"/>
  <c r="CI20" i="3"/>
  <c r="CJ20" i="3"/>
  <c r="CK20" i="3"/>
  <c r="CL20" i="3"/>
  <c r="CM20" i="3"/>
  <c r="CV20" i="3"/>
  <c r="CX20" i="3"/>
  <c r="K21" i="3"/>
  <c r="L21" i="3"/>
  <c r="N21" i="3"/>
  <c r="O21" i="3"/>
  <c r="Q21" i="3"/>
  <c r="AG21" i="3"/>
  <c r="AN21" i="3"/>
  <c r="AP21" i="3"/>
  <c r="AR21" i="3"/>
  <c r="F74" i="11"/>
  <c r="L74" i="11"/>
  <c r="BH21" i="3"/>
  <c r="BK21" i="3"/>
  <c r="BL21" i="3"/>
  <c r="BP21" i="3"/>
  <c r="BT21" i="3"/>
  <c r="BU21" i="3"/>
  <c r="CI21" i="3"/>
  <c r="CJ21" i="3"/>
  <c r="CK21" i="3"/>
  <c r="CL21" i="3"/>
  <c r="CM21" i="3"/>
  <c r="CU21" i="3"/>
  <c r="CV21" i="3"/>
  <c r="CW21" i="3"/>
  <c r="CX21" i="3"/>
  <c r="K22" i="3"/>
  <c r="L22" i="3"/>
  <c r="N22" i="3"/>
  <c r="O22" i="3"/>
  <c r="Q22" i="3"/>
  <c r="AJ22" i="3"/>
  <c r="AN22" i="3"/>
  <c r="AP22" i="3"/>
  <c r="AR22" i="3"/>
  <c r="BH22" i="3"/>
  <c r="BK22" i="3"/>
  <c r="BL22" i="3"/>
  <c r="BP22" i="3"/>
  <c r="BT22" i="3"/>
  <c r="BU22" i="3"/>
  <c r="CI22" i="3"/>
  <c r="CJ22" i="3"/>
  <c r="CK22" i="3"/>
  <c r="CL22" i="3"/>
  <c r="CM22" i="3"/>
  <c r="CU22" i="3"/>
  <c r="CV22" i="3"/>
  <c r="CW22" i="3"/>
  <c r="CX22" i="3"/>
  <c r="K23" i="3"/>
  <c r="L23" i="3"/>
  <c r="N23" i="3"/>
  <c r="O23" i="3"/>
  <c r="Q23" i="3"/>
  <c r="AG23" i="3"/>
  <c r="AR23" i="3"/>
  <c r="F78" i="11"/>
  <c r="L78" i="11"/>
  <c r="BH23" i="3"/>
  <c r="BK23" i="3"/>
  <c r="BL23" i="3"/>
  <c r="BP23" i="3"/>
  <c r="BT23" i="3"/>
  <c r="BU23" i="3"/>
  <c r="CI23" i="3"/>
  <c r="CJ23" i="3"/>
  <c r="CK23" i="3"/>
  <c r="CL23" i="3"/>
  <c r="CM23" i="3"/>
  <c r="CU23" i="3"/>
  <c r="CV23" i="3"/>
  <c r="CX23" i="3"/>
  <c r="K24" i="3"/>
  <c r="L24" i="3"/>
  <c r="N24" i="3"/>
  <c r="O24" i="3"/>
  <c r="Q24" i="3"/>
  <c r="AG24" i="3"/>
  <c r="AN24" i="3"/>
  <c r="AP24" i="3"/>
  <c r="AR24" i="3"/>
  <c r="BH24" i="3"/>
  <c r="BK24" i="3"/>
  <c r="BL24" i="3"/>
  <c r="BP24" i="3"/>
  <c r="BT24" i="3"/>
  <c r="BU24" i="3"/>
  <c r="CI24" i="3"/>
  <c r="CJ24" i="3"/>
  <c r="CK24" i="3"/>
  <c r="CL24" i="3"/>
  <c r="CM24" i="3"/>
  <c r="CU24" i="3"/>
  <c r="CV24" i="3"/>
  <c r="CW24" i="3"/>
  <c r="CX24" i="3"/>
  <c r="K25" i="3"/>
  <c r="L25" i="3"/>
  <c r="N25" i="3"/>
  <c r="O25" i="3"/>
  <c r="Q25" i="3"/>
  <c r="AR25" i="3"/>
  <c r="F77" i="11"/>
  <c r="L77" i="11"/>
  <c r="BH25" i="3"/>
  <c r="BK25" i="3"/>
  <c r="BL25" i="3"/>
  <c r="BP25" i="3"/>
  <c r="BT25" i="3"/>
  <c r="BU25" i="3"/>
  <c r="CI25" i="3"/>
  <c r="CJ25" i="3"/>
  <c r="CK25" i="3"/>
  <c r="CL25" i="3"/>
  <c r="CM25" i="3"/>
  <c r="CU25" i="3"/>
  <c r="CV25" i="3"/>
  <c r="CX25" i="3"/>
  <c r="Q5" i="3"/>
  <c r="E77" i="11"/>
  <c r="E78" i="11"/>
  <c r="E74" i="11"/>
  <c r="E76" i="11"/>
  <c r="E73" i="11"/>
  <c r="F72" i="11"/>
  <c r="L72" i="11"/>
  <c r="E72" i="11"/>
  <c r="F75" i="11"/>
  <c r="L75" i="11"/>
  <c r="E75" i="11"/>
  <c r="F73" i="11"/>
  <c r="L73" i="11"/>
  <c r="H71" i="11"/>
  <c r="N71" i="11"/>
  <c r="E71" i="11"/>
  <c r="BA20" i="3"/>
  <c r="BB20" i="3"/>
  <c r="BC20" i="3"/>
  <c r="G76" i="11"/>
  <c r="M76" i="11"/>
  <c r="BB28" i="3"/>
  <c r="BC3" i="3"/>
  <c r="G57" i="11"/>
  <c r="M57" i="11"/>
  <c r="AS26" i="3"/>
  <c r="AX18" i="3"/>
  <c r="AX26" i="3"/>
  <c r="CP25" i="3"/>
  <c r="CQ25" i="3"/>
  <c r="H77" i="11"/>
  <c r="N77" i="11"/>
  <c r="CP24" i="3"/>
  <c r="CQ24" i="3"/>
  <c r="H72" i="11"/>
  <c r="N72" i="11"/>
  <c r="CP22" i="3"/>
  <c r="CQ22" i="3"/>
  <c r="H75" i="11"/>
  <c r="N75" i="11"/>
  <c r="CP20" i="3"/>
  <c r="CQ20" i="3"/>
  <c r="H76" i="11"/>
  <c r="N76" i="11"/>
  <c r="CP19" i="3"/>
  <c r="CQ19" i="3"/>
  <c r="H73" i="11"/>
  <c r="N73" i="11"/>
  <c r="CP23" i="3"/>
  <c r="CQ23" i="3"/>
  <c r="H78" i="11"/>
  <c r="N78" i="11"/>
  <c r="CP21" i="3"/>
  <c r="CQ21" i="3"/>
  <c r="H74" i="11"/>
  <c r="N74" i="11"/>
  <c r="AV18" i="3"/>
  <c r="DC23" i="3"/>
  <c r="DD23" i="3"/>
  <c r="BB18" i="3"/>
  <c r="BC18" i="3"/>
  <c r="DC21" i="3"/>
  <c r="DD21" i="3"/>
  <c r="I10" i="6"/>
  <c r="I9" i="6"/>
  <c r="I8" i="6"/>
  <c r="I7" i="6"/>
  <c r="BK15" i="3"/>
  <c r="BL15" i="3"/>
  <c r="Q17" i="3"/>
  <c r="Q16" i="3"/>
  <c r="Q15" i="3"/>
  <c r="Q14" i="3"/>
  <c r="Q13" i="3"/>
  <c r="Q12" i="3"/>
  <c r="Q11" i="3"/>
  <c r="Q10" i="3"/>
  <c r="Q9" i="3"/>
  <c r="Q8" i="3"/>
  <c r="Q7" i="3"/>
  <c r="Q6" i="3"/>
  <c r="Q4" i="3"/>
  <c r="Q3" i="3"/>
  <c r="K75" i="11"/>
  <c r="I75" i="11"/>
  <c r="O75" i="11"/>
  <c r="K72" i="11"/>
  <c r="I72" i="11"/>
  <c r="O72" i="11"/>
  <c r="K76" i="11"/>
  <c r="I76" i="11"/>
  <c r="O76" i="11"/>
  <c r="K77" i="11"/>
  <c r="I77" i="11"/>
  <c r="O77" i="11"/>
  <c r="K71" i="11"/>
  <c r="K73" i="11"/>
  <c r="I73" i="11"/>
  <c r="O73" i="11"/>
  <c r="K74" i="11"/>
  <c r="I74" i="11"/>
  <c r="O74" i="11"/>
  <c r="K78" i="11"/>
  <c r="I78" i="11"/>
  <c r="O78" i="11"/>
  <c r="AY18" i="3"/>
  <c r="AZ18" i="3"/>
  <c r="G71" i="11"/>
  <c r="M71" i="11"/>
  <c r="AV26" i="3"/>
  <c r="DC20" i="3"/>
  <c r="DD20" i="3"/>
  <c r="D62" i="6"/>
  <c r="DC25" i="3"/>
  <c r="DD25" i="3"/>
  <c r="DC19" i="3"/>
  <c r="DD19" i="3"/>
  <c r="DC22" i="3"/>
  <c r="DD22" i="3"/>
  <c r="DC24" i="3"/>
  <c r="DD24" i="3"/>
  <c r="X26" i="3"/>
  <c r="N6" i="3"/>
  <c r="O6" i="3"/>
  <c r="N5" i="3"/>
  <c r="O5" i="3"/>
  <c r="N4" i="3"/>
  <c r="O4" i="3"/>
  <c r="N3" i="3"/>
  <c r="N17" i="3"/>
  <c r="O17" i="3"/>
  <c r="N16" i="3"/>
  <c r="O16" i="3"/>
  <c r="N15" i="3"/>
  <c r="O15" i="3"/>
  <c r="N14" i="3"/>
  <c r="O14" i="3"/>
  <c r="N13" i="3"/>
  <c r="O13" i="3"/>
  <c r="N12" i="3"/>
  <c r="N11" i="3"/>
  <c r="O11" i="3"/>
  <c r="N10" i="3"/>
  <c r="O10" i="3"/>
  <c r="N9" i="3"/>
  <c r="O9" i="3"/>
  <c r="N8" i="3"/>
  <c r="O8" i="3"/>
  <c r="N7" i="3"/>
  <c r="O7" i="3"/>
  <c r="AR17" i="3"/>
  <c r="AR16" i="3"/>
  <c r="F68" i="11"/>
  <c r="L68" i="11"/>
  <c r="AR15" i="3"/>
  <c r="F61" i="11"/>
  <c r="L61" i="11"/>
  <c r="AR14" i="3"/>
  <c r="AR13" i="3"/>
  <c r="AR12" i="3"/>
  <c r="AR11" i="3"/>
  <c r="AR10" i="3"/>
  <c r="AR9" i="3"/>
  <c r="AR8" i="3"/>
  <c r="F62" i="11"/>
  <c r="L62" i="11"/>
  <c r="AR7" i="3"/>
  <c r="AR6" i="3"/>
  <c r="AR5" i="3"/>
  <c r="AR4" i="3"/>
  <c r="AR3" i="3"/>
  <c r="F57" i="11"/>
  <c r="L57" i="11"/>
  <c r="I71" i="11"/>
  <c r="O71" i="11"/>
  <c r="C24" i="6"/>
  <c r="C26" i="6"/>
  <c r="C25" i="6"/>
  <c r="O3" i="3"/>
  <c r="C27" i="6"/>
  <c r="N26" i="3"/>
  <c r="DC18" i="3"/>
  <c r="DD18" i="3"/>
  <c r="BA7" i="3"/>
  <c r="O12" i="3"/>
  <c r="BB7" i="3"/>
  <c r="BA26" i="3"/>
  <c r="BP4" i="3"/>
  <c r="BP5" i="3"/>
  <c r="BP6" i="3"/>
  <c r="BP7" i="3"/>
  <c r="AJ9" i="3"/>
  <c r="BP9" i="3"/>
  <c r="BP10" i="3"/>
  <c r="BP12" i="3"/>
  <c r="BP13" i="3"/>
  <c r="BP17" i="3"/>
  <c r="BP15" i="3"/>
  <c r="BP14" i="3"/>
  <c r="BP16" i="3"/>
  <c r="AJ14" i="3"/>
  <c r="BC7" i="3"/>
  <c r="G67" i="11"/>
  <c r="M67" i="11"/>
  <c r="BB29" i="3"/>
  <c r="BB30" i="3"/>
  <c r="BB26" i="3"/>
  <c r="AJ26" i="3"/>
  <c r="BP26" i="3"/>
  <c r="CL7" i="3"/>
  <c r="CL5" i="3"/>
  <c r="BT17" i="3"/>
  <c r="BU17" i="3"/>
  <c r="BT16" i="3"/>
  <c r="BU16" i="3"/>
  <c r="BT15" i="3"/>
  <c r="BU15" i="3"/>
  <c r="BT14" i="3"/>
  <c r="BU14" i="3"/>
  <c r="BT12" i="3"/>
  <c r="BU12" i="3"/>
  <c r="BT11" i="3"/>
  <c r="BU11" i="3"/>
  <c r="BT10" i="3"/>
  <c r="BU10" i="3"/>
  <c r="BT9" i="3"/>
  <c r="BU9" i="3"/>
  <c r="BT8" i="3"/>
  <c r="BU8" i="3"/>
  <c r="BT6" i="3"/>
  <c r="BU6" i="3"/>
  <c r="BT5" i="3"/>
  <c r="BU5" i="3"/>
  <c r="BT4" i="3"/>
  <c r="BU4" i="3"/>
  <c r="CI16" i="3"/>
  <c r="CI15" i="3"/>
  <c r="CI14" i="3"/>
  <c r="CI13" i="3"/>
  <c r="CI12" i="3"/>
  <c r="CI11" i="3"/>
  <c r="CJ16" i="3"/>
  <c r="CJ15" i="3"/>
  <c r="CJ14" i="3"/>
  <c r="CJ13" i="3"/>
  <c r="CJ12" i="3"/>
  <c r="CJ11" i="3"/>
  <c r="CI10" i="3"/>
  <c r="CJ10" i="3"/>
  <c r="CI9" i="3"/>
  <c r="CJ9" i="3"/>
  <c r="CI8" i="3"/>
  <c r="CJ8" i="3"/>
  <c r="CI7" i="3"/>
  <c r="CJ7" i="3"/>
  <c r="CI6" i="3"/>
  <c r="CJ6" i="3"/>
  <c r="CI5" i="3"/>
  <c r="CJ5" i="3"/>
  <c r="CI4" i="3"/>
  <c r="CJ4" i="3"/>
  <c r="CI17" i="3"/>
  <c r="CJ17" i="3"/>
  <c r="AN17" i="3"/>
  <c r="AP17" i="3"/>
  <c r="F69" i="11"/>
  <c r="L69" i="11"/>
  <c r="K13" i="3"/>
  <c r="L13" i="3"/>
  <c r="E63" i="11"/>
  <c r="K17" i="3"/>
  <c r="L17" i="3"/>
  <c r="E69" i="11"/>
  <c r="K16" i="3"/>
  <c r="L16" i="3"/>
  <c r="E68" i="11"/>
  <c r="K15" i="3"/>
  <c r="L15" i="3"/>
  <c r="E61" i="11"/>
  <c r="K14" i="3"/>
  <c r="L14" i="3"/>
  <c r="E65" i="11"/>
  <c r="K12" i="3"/>
  <c r="L12" i="3"/>
  <c r="E60" i="11"/>
  <c r="K11" i="3"/>
  <c r="L11" i="3"/>
  <c r="E66" i="11"/>
  <c r="K10" i="3"/>
  <c r="L10" i="3"/>
  <c r="E58" i="11"/>
  <c r="K9" i="3"/>
  <c r="L9" i="3"/>
  <c r="E70" i="11"/>
  <c r="K8" i="3"/>
  <c r="L8" i="3"/>
  <c r="E62" i="11"/>
  <c r="K7" i="3"/>
  <c r="L7" i="3"/>
  <c r="E67" i="11"/>
  <c r="K6" i="3"/>
  <c r="L6" i="3"/>
  <c r="E64" i="11"/>
  <c r="K5" i="3"/>
  <c r="L5" i="3"/>
  <c r="E59" i="11"/>
  <c r="K4" i="3"/>
  <c r="L4" i="3"/>
  <c r="E56" i="11"/>
  <c r="K3" i="3"/>
  <c r="L3" i="3"/>
  <c r="E57" i="11"/>
  <c r="K57" i="11"/>
  <c r="K56" i="11"/>
  <c r="K64" i="11"/>
  <c r="K62" i="11"/>
  <c r="K58" i="11"/>
  <c r="K60" i="11"/>
  <c r="K61" i="11"/>
  <c r="K69" i="11"/>
  <c r="K59" i="11"/>
  <c r="K67" i="11"/>
  <c r="K70" i="11"/>
  <c r="K66" i="11"/>
  <c r="K65" i="11"/>
  <c r="K68" i="11"/>
  <c r="K63" i="11"/>
  <c r="K26" i="3"/>
  <c r="C19" i="6"/>
  <c r="C17" i="6"/>
  <c r="C18" i="6"/>
  <c r="C16" i="6"/>
  <c r="CL3" i="3"/>
  <c r="BW8" i="3"/>
  <c r="BW26" i="3"/>
  <c r="BY8" i="3"/>
  <c r="BY26" i="3"/>
  <c r="CV17" i="3"/>
  <c r="CU17" i="3"/>
  <c r="CM17" i="3"/>
  <c r="CL17" i="3"/>
  <c r="CK17" i="3"/>
  <c r="CP17" i="3"/>
  <c r="CQ17" i="3"/>
  <c r="CI3" i="3"/>
  <c r="CI26" i="3"/>
  <c r="CM16" i="3"/>
  <c r="CM15" i="3"/>
  <c r="CM14" i="3"/>
  <c r="CM13" i="3"/>
  <c r="CM12" i="3"/>
  <c r="CM11" i="3"/>
  <c r="CM10" i="3"/>
  <c r="CM9" i="3"/>
  <c r="CM8" i="3"/>
  <c r="CM7" i="3"/>
  <c r="CM6" i="3"/>
  <c r="CM5" i="3"/>
  <c r="CM4" i="3"/>
  <c r="CL16" i="3"/>
  <c r="CL15" i="3"/>
  <c r="CL14" i="3"/>
  <c r="CL13" i="3"/>
  <c r="CL12" i="3"/>
  <c r="CL11" i="3"/>
  <c r="CL9" i="3"/>
  <c r="CL10" i="3"/>
  <c r="CP10" i="3"/>
  <c r="CQ10" i="3"/>
  <c r="CL8" i="3"/>
  <c r="CL6" i="3"/>
  <c r="CL4" i="3"/>
  <c r="CK16" i="3"/>
  <c r="CK15" i="3"/>
  <c r="CP15" i="3"/>
  <c r="CQ15" i="3"/>
  <c r="H61" i="11"/>
  <c r="CK14" i="3"/>
  <c r="CK13" i="3"/>
  <c r="CP13" i="3"/>
  <c r="CQ13" i="3"/>
  <c r="CK12" i="3"/>
  <c r="CK11" i="3"/>
  <c r="CP11" i="3"/>
  <c r="CQ11" i="3"/>
  <c r="CK9" i="3"/>
  <c r="CK8" i="3"/>
  <c r="CK7" i="3"/>
  <c r="CK6" i="3"/>
  <c r="CP6" i="3"/>
  <c r="CQ6" i="3"/>
  <c r="CK5" i="3"/>
  <c r="CK4" i="3"/>
  <c r="AG16" i="3"/>
  <c r="CX16" i="3"/>
  <c r="CV16" i="3"/>
  <c r="CU16" i="3"/>
  <c r="N61" i="11"/>
  <c r="I61" i="11"/>
  <c r="O61" i="11"/>
  <c r="CP5" i="3"/>
  <c r="CQ5" i="3"/>
  <c r="CP7" i="3"/>
  <c r="CQ7" i="3"/>
  <c r="CP9" i="3"/>
  <c r="CQ9" i="3"/>
  <c r="CP4" i="3"/>
  <c r="CQ4" i="3"/>
  <c r="CP8" i="3"/>
  <c r="CQ8" i="3"/>
  <c r="CP12" i="3"/>
  <c r="CQ12" i="3"/>
  <c r="CP14" i="3"/>
  <c r="CQ14" i="3"/>
  <c r="CP16" i="3"/>
  <c r="CQ16" i="3"/>
  <c r="CL26" i="3"/>
  <c r="CJ3" i="3"/>
  <c r="CJ26" i="3"/>
  <c r="CX14" i="3"/>
  <c r="CW14" i="3"/>
  <c r="CV14" i="3"/>
  <c r="CU14" i="3"/>
  <c r="AN14" i="3"/>
  <c r="AP14" i="3"/>
  <c r="F65" i="11"/>
  <c r="CX13" i="3"/>
  <c r="CW13" i="3"/>
  <c r="CV13" i="3"/>
  <c r="CU13" i="3"/>
  <c r="AP13" i="3"/>
  <c r="F63" i="11"/>
  <c r="CX15" i="3"/>
  <c r="CV15" i="3"/>
  <c r="CU15" i="3"/>
  <c r="L63" i="11"/>
  <c r="L65" i="11"/>
  <c r="CX12" i="3"/>
  <c r="CW12" i="3"/>
  <c r="CV12" i="3"/>
  <c r="CU12" i="3"/>
  <c r="AN12" i="3"/>
  <c r="AP12" i="3"/>
  <c r="F60" i="11"/>
  <c r="AG9" i="3"/>
  <c r="L60" i="11"/>
  <c r="I71" i="6"/>
  <c r="I72" i="6"/>
  <c r="I73" i="6"/>
  <c r="I70" i="6"/>
  <c r="CX11" i="3"/>
  <c r="CV11" i="3"/>
  <c r="CU11" i="3"/>
  <c r="AM11" i="3"/>
  <c r="AN11" i="3"/>
  <c r="AP11" i="3"/>
  <c r="F66" i="11"/>
  <c r="AI11" i="3"/>
  <c r="L66" i="11"/>
  <c r="CX5" i="3"/>
  <c r="CV5" i="3"/>
  <c r="AN5" i="3"/>
  <c r="AP5" i="3"/>
  <c r="F59" i="11"/>
  <c r="AG5" i="3"/>
  <c r="AG26" i="3"/>
  <c r="L59" i="11"/>
  <c r="AN10" i="3"/>
  <c r="AP10" i="3"/>
  <c r="F58" i="11"/>
  <c r="L58" i="11"/>
  <c r="AI8" i="3"/>
  <c r="AI26" i="3"/>
  <c r="DC15" i="3"/>
  <c r="DD15" i="3"/>
  <c r="CX9" i="3"/>
  <c r="CW9" i="3"/>
  <c r="CV9" i="3"/>
  <c r="CU9" i="3"/>
  <c r="AN9" i="3"/>
  <c r="AP9" i="3"/>
  <c r="F70" i="11"/>
  <c r="CX7" i="3"/>
  <c r="CV7" i="3"/>
  <c r="CU7" i="3"/>
  <c r="AN7" i="3"/>
  <c r="AP7" i="3"/>
  <c r="F67" i="11"/>
  <c r="CX6" i="3"/>
  <c r="CX26" i="3"/>
  <c r="CW6" i="3"/>
  <c r="CV6" i="3"/>
  <c r="CV26" i="3"/>
  <c r="CU6" i="3"/>
  <c r="AN4" i="3"/>
  <c r="AN6" i="3"/>
  <c r="AP6" i="3"/>
  <c r="F64" i="11"/>
  <c r="L64" i="11"/>
  <c r="L67" i="11"/>
  <c r="L70" i="11"/>
  <c r="AN26" i="3"/>
  <c r="AP4" i="3"/>
  <c r="F56" i="11"/>
  <c r="CU26" i="3"/>
  <c r="CW26" i="3"/>
  <c r="D64" i="6"/>
  <c r="D63" i="6"/>
  <c r="D65" i="6"/>
  <c r="CM3" i="3"/>
  <c r="CM26" i="3"/>
  <c r="L56" i="11"/>
  <c r="BT3" i="3"/>
  <c r="BT26" i="3"/>
  <c r="CK3" i="3"/>
  <c r="I30" i="7"/>
  <c r="H30" i="7"/>
  <c r="G30" i="7"/>
  <c r="F30" i="7"/>
  <c r="E30" i="7"/>
  <c r="D30" i="7"/>
  <c r="CK26" i="3"/>
  <c r="CP3" i="3"/>
  <c r="BU3" i="3"/>
  <c r="I25" i="6"/>
  <c r="I23" i="6"/>
  <c r="I24" i="6"/>
  <c r="I22" i="6"/>
  <c r="G75" i="7"/>
  <c r="CP26" i="3"/>
  <c r="CQ3" i="3"/>
  <c r="I49" i="6"/>
  <c r="I47" i="6"/>
  <c r="I50" i="6"/>
  <c r="I48" i="6"/>
  <c r="F75" i="7"/>
  <c r="E75" i="7"/>
  <c r="D75" i="7"/>
  <c r="BH17" i="3"/>
  <c r="BH16" i="3"/>
  <c r="BH14" i="3"/>
  <c r="BH3" i="3"/>
  <c r="BH10" i="3"/>
  <c r="BH9" i="3"/>
  <c r="BH8" i="3"/>
  <c r="BH7" i="3"/>
  <c r="BH6" i="3"/>
  <c r="BK6" i="3"/>
  <c r="BL6" i="3"/>
  <c r="H64" i="11"/>
  <c r="BH5" i="3"/>
  <c r="BK5" i="3"/>
  <c r="BL5" i="3"/>
  <c r="H59" i="11"/>
  <c r="BH12" i="3"/>
  <c r="BK12" i="3"/>
  <c r="BL12" i="3"/>
  <c r="H60" i="11"/>
  <c r="BH11" i="3"/>
  <c r="N60" i="11"/>
  <c r="I60" i="11"/>
  <c r="O60" i="11"/>
  <c r="N59" i="11"/>
  <c r="I59" i="11"/>
  <c r="O59" i="11"/>
  <c r="N64" i="11"/>
  <c r="I64" i="11"/>
  <c r="O64" i="11"/>
  <c r="DC12" i="3"/>
  <c r="DD12" i="3"/>
  <c r="DC5" i="3"/>
  <c r="DD5" i="3"/>
  <c r="BK3" i="3"/>
  <c r="BL3" i="3"/>
  <c r="H57" i="11"/>
  <c r="DC6" i="3"/>
  <c r="DD6" i="3"/>
  <c r="BK7" i="3"/>
  <c r="BL7" i="3"/>
  <c r="H67" i="11"/>
  <c r="BK9" i="3"/>
  <c r="BL9" i="3"/>
  <c r="H70" i="11"/>
  <c r="BK17" i="3"/>
  <c r="BL17" i="3"/>
  <c r="H69" i="11"/>
  <c r="BK11" i="3"/>
  <c r="BL11" i="3"/>
  <c r="H66" i="11"/>
  <c r="BK13" i="3"/>
  <c r="BK8" i="3"/>
  <c r="BL8" i="3"/>
  <c r="H62" i="11"/>
  <c r="BK10" i="3"/>
  <c r="BL10" i="3"/>
  <c r="H58" i="11"/>
  <c r="BK14" i="3"/>
  <c r="BL14" i="3"/>
  <c r="H65" i="11"/>
  <c r="BK16" i="3"/>
  <c r="BL16" i="3"/>
  <c r="H68" i="11"/>
  <c r="BH4" i="3"/>
  <c r="BK4" i="3"/>
  <c r="BL4" i="3"/>
  <c r="H56" i="11"/>
  <c r="N56" i="11"/>
  <c r="I56" i="11"/>
  <c r="O56" i="11"/>
  <c r="N65" i="11"/>
  <c r="I65" i="11"/>
  <c r="O65" i="11"/>
  <c r="N62" i="11"/>
  <c r="I62" i="11"/>
  <c r="O62" i="11"/>
  <c r="N66" i="11"/>
  <c r="I66" i="11"/>
  <c r="O66" i="11"/>
  <c r="N70" i="11"/>
  <c r="I70" i="11"/>
  <c r="O70" i="11"/>
  <c r="N68" i="11"/>
  <c r="I68" i="11"/>
  <c r="O68" i="11"/>
  <c r="N58" i="11"/>
  <c r="I58" i="11"/>
  <c r="O58" i="11"/>
  <c r="N69" i="11"/>
  <c r="I69" i="11"/>
  <c r="O69" i="11"/>
  <c r="N67" i="11"/>
  <c r="I67" i="11"/>
  <c r="O67" i="11"/>
  <c r="N57" i="11"/>
  <c r="I57" i="11"/>
  <c r="O57" i="11"/>
  <c r="BL13" i="3"/>
  <c r="DC13" i="3"/>
  <c r="DD13" i="3"/>
  <c r="H63" i="11"/>
  <c r="BH26" i="3"/>
  <c r="BK26" i="3"/>
  <c r="DC4" i="3"/>
  <c r="DD4" i="3"/>
  <c r="DC8" i="3"/>
  <c r="DD8" i="3"/>
  <c r="DC11" i="3"/>
  <c r="DD11" i="3"/>
  <c r="DC9" i="3"/>
  <c r="DD9" i="3"/>
  <c r="DC14" i="3"/>
  <c r="DD14" i="3"/>
  <c r="DC16" i="3"/>
  <c r="DD16" i="3"/>
  <c r="DC17" i="3"/>
  <c r="DD17" i="3"/>
  <c r="DC3" i="3"/>
  <c r="DD3" i="3"/>
  <c r="I16" i="6"/>
  <c r="I14" i="6"/>
  <c r="I17" i="6"/>
  <c r="I15" i="6"/>
  <c r="N63" i="11"/>
  <c r="I63" i="11"/>
  <c r="O63" i="11"/>
  <c r="DC10" i="3"/>
  <c r="DD10" i="3"/>
  <c r="DC7" i="3"/>
  <c r="DC26" i="3"/>
  <c r="DD7" i="3"/>
  <c r="I63" i="6"/>
  <c r="I64" i="6"/>
  <c r="I62" i="6"/>
  <c r="I65" i="6"/>
</calcChain>
</file>

<file path=xl/comments1.xml><?xml version="1.0" encoding="utf-8"?>
<comments xmlns="http://schemas.openxmlformats.org/spreadsheetml/2006/main">
  <authors>
    <author>Art Astarita - RCAP Solutions</author>
    <author>ART</author>
  </authors>
  <commentList>
    <comment ref="M2" authorId="0">
      <text>
        <r>
          <rPr>
            <b/>
            <sz val="8"/>
            <color indexed="81"/>
            <rFont val="Tahoma"/>
            <family val="2"/>
          </rPr>
          <t>Art Astarita - RCAP Solutions:</t>
        </r>
        <r>
          <rPr>
            <sz val="8"/>
            <color indexed="81"/>
            <rFont val="Tahoma"/>
            <family val="2"/>
          </rPr>
          <t xml:space="preserve">
Source: 2000 Census
http://censtats.census.gov/data/ME/
MHI not equal to system population</t>
        </r>
      </text>
    </comment>
    <comment ref="P2" authorId="0">
      <text>
        <r>
          <rPr>
            <b/>
            <sz val="8"/>
            <color indexed="81"/>
            <rFont val="Tahoma"/>
            <family val="2"/>
          </rPr>
          <t>Art Astarita - RCAP Solutions:</t>
        </r>
        <r>
          <rPr>
            <sz val="8"/>
            <color indexed="81"/>
            <rFont val="Tahoma"/>
            <family val="2"/>
          </rPr>
          <t xml:space="preserve">
Maine CDBG
LMI Universe not equal to town pop or system pop
</t>
        </r>
      </text>
    </comment>
    <comment ref="Y2" authorId="0">
      <text>
        <r>
          <rPr>
            <b/>
            <sz val="8"/>
            <color indexed="81"/>
            <rFont val="Tahoma"/>
            <family val="2"/>
          </rPr>
          <t>Art Astarita - RCAP Solutions:</t>
        </r>
        <r>
          <rPr>
            <sz val="8"/>
            <color indexed="81"/>
            <rFont val="Tahoma"/>
            <family val="2"/>
          </rPr>
          <t xml:space="preserve">
BR=Bedrock
Gravel=Sand &amp; Gravel
</t>
        </r>
      </text>
    </comment>
    <comment ref="AJ2" authorId="0">
      <text>
        <r>
          <rPr>
            <b/>
            <sz val="8"/>
            <color indexed="81"/>
            <rFont val="Tahoma"/>
            <family val="2"/>
          </rPr>
          <t>Art Astarita - RCAP Solutions:</t>
        </r>
        <r>
          <rPr>
            <sz val="8"/>
            <color indexed="81"/>
            <rFont val="Tahoma"/>
            <family val="2"/>
          </rPr>
          <t xml:space="preserve">
Include private and public
</t>
        </r>
      </text>
    </comment>
    <comment ref="AW2" authorId="0">
      <text>
        <r>
          <rPr>
            <b/>
            <sz val="8"/>
            <color indexed="81"/>
            <rFont val="Tahoma"/>
            <family val="2"/>
          </rPr>
          <t>Art Astarita - RCAP Solutions:</t>
        </r>
        <r>
          <rPr>
            <sz val="8"/>
            <color indexed="81"/>
            <rFont val="Tahoma"/>
            <family val="2"/>
          </rPr>
          <t xml:space="preserve">
• Population (connections*2.5) may not reflect true consumer base.  If town has hospital, college, nursing home, Jail and Veteran’s Home, etc.</t>
        </r>
      </text>
    </comment>
    <comment ref="BA2" authorId="0">
      <text>
        <r>
          <rPr>
            <b/>
            <sz val="8"/>
            <color indexed="81"/>
            <rFont val="Tahoma"/>
            <family val="2"/>
          </rPr>
          <t>Art Astarita - RCAP Solutions:</t>
        </r>
        <r>
          <rPr>
            <sz val="8"/>
            <color indexed="81"/>
            <rFont val="Tahoma"/>
            <family val="2"/>
          </rPr>
          <t xml:space="preserve">
Source water yield is limited by plant design capacity</t>
        </r>
      </text>
    </comment>
    <comment ref="BB2" authorId="0">
      <text>
        <r>
          <rPr>
            <b/>
            <sz val="8"/>
            <color indexed="81"/>
            <rFont val="Tahoma"/>
            <family val="2"/>
          </rPr>
          <t>Art Astarita - RCAP Solutions:</t>
        </r>
        <r>
          <rPr>
            <sz val="8"/>
            <color indexed="81"/>
            <rFont val="Tahoma"/>
            <family val="2"/>
          </rPr>
          <t xml:space="preserve">
If Source Capacity&gt;2x Plant Design</t>
        </r>
      </text>
    </comment>
    <comment ref="BH2" authorId="0">
      <text>
        <r>
          <rPr>
            <b/>
            <sz val="8"/>
            <color indexed="81"/>
            <rFont val="Tahoma"/>
            <family val="2"/>
          </rPr>
          <t>Art Astarita - RCAP Solutions:</t>
        </r>
        <r>
          <rPr>
            <sz val="8"/>
            <color indexed="81"/>
            <rFont val="Tahoma"/>
            <family val="2"/>
          </rPr>
          <t xml:space="preserve">
MEPUC </t>
        </r>
      </text>
    </comment>
    <comment ref="BI2" authorId="0">
      <text>
        <r>
          <rPr>
            <b/>
            <sz val="8"/>
            <color indexed="81"/>
            <rFont val="Tahoma"/>
            <family val="2"/>
          </rPr>
          <t>Art Astarita - RCAP Solutions:</t>
        </r>
        <r>
          <rPr>
            <sz val="8"/>
            <color indexed="81"/>
            <rFont val="Tahoma"/>
            <family val="2"/>
          </rPr>
          <t xml:space="preserve">
MEPUC</t>
        </r>
      </text>
    </comment>
    <comment ref="BM2" authorId="0">
      <text>
        <r>
          <rPr>
            <b/>
            <sz val="8"/>
            <color indexed="81"/>
            <rFont val="Tahoma"/>
            <family val="2"/>
          </rPr>
          <t>Art Astarita - RCAP Solutions:</t>
        </r>
        <r>
          <rPr>
            <sz val="8"/>
            <color indexed="81"/>
            <rFont val="Tahoma"/>
            <family val="2"/>
          </rPr>
          <t xml:space="preserve">
Source: DWP
</t>
        </r>
      </text>
    </comment>
    <comment ref="BN2" authorId="0">
      <text>
        <r>
          <rPr>
            <b/>
            <sz val="8"/>
            <color indexed="81"/>
            <rFont val="Tahoma"/>
            <family val="2"/>
          </rPr>
          <t>Art Astarita - RCAP Solutions:</t>
        </r>
        <r>
          <rPr>
            <sz val="8"/>
            <color indexed="81"/>
            <rFont val="Tahoma"/>
            <family val="2"/>
          </rPr>
          <t xml:space="preserve">
Source: Sanitary Survey</t>
        </r>
      </text>
    </comment>
    <comment ref="BO2" authorId="0">
      <text>
        <r>
          <rPr>
            <b/>
            <sz val="8"/>
            <color indexed="81"/>
            <rFont val="Tahoma"/>
            <family val="2"/>
          </rPr>
          <t>Art Astarita - RCAP Solutions:</t>
        </r>
        <r>
          <rPr>
            <sz val="8"/>
            <color indexed="81"/>
            <rFont val="Tahoma"/>
            <family val="2"/>
          </rPr>
          <t xml:space="preserve">
Source: Sanitary Survey</t>
        </r>
      </text>
    </comment>
    <comment ref="CI2" authorId="0">
      <text>
        <r>
          <rPr>
            <b/>
            <sz val="8"/>
            <color indexed="81"/>
            <rFont val="Tahoma"/>
            <family val="2"/>
          </rPr>
          <t>Art Astarita - RCAP Solutions:</t>
        </r>
        <r>
          <rPr>
            <sz val="8"/>
            <color indexed="81"/>
            <rFont val="Tahoma"/>
            <family val="2"/>
          </rPr>
          <t xml:space="preserve">
Public and Private Fire Protecdtion,    </t>
        </r>
      </text>
    </comment>
    <comment ref="CK2" authorId="0">
      <text>
        <r>
          <rPr>
            <b/>
            <sz val="8"/>
            <color indexed="81"/>
            <rFont val="Tahoma"/>
            <family val="2"/>
          </rPr>
          <t>Art Astarita - RCAP Solutions:</t>
        </r>
        <r>
          <rPr>
            <sz val="8"/>
            <color indexed="81"/>
            <rFont val="Tahoma"/>
            <family val="2"/>
          </rPr>
          <t xml:space="preserve">
Op Rev ÷ Op Ex
The operating ratio demonstrates the relationship between operating revenues and operating expenses. A high ratio indicates that the organization has achieved operating efficiency by keeping expenses low relative to revenue.
</t>
        </r>
      </text>
    </comment>
    <comment ref="CL2" authorId="0">
      <text>
        <r>
          <rPr>
            <b/>
            <sz val="8"/>
            <color indexed="81"/>
            <rFont val="Tahoma"/>
            <family val="2"/>
          </rPr>
          <t>Art Astarita - RCAP Solutions:</t>
        </r>
        <r>
          <rPr>
            <sz val="8"/>
            <color indexed="81"/>
            <rFont val="Tahoma"/>
            <family val="2"/>
          </rPr>
          <t xml:space="preserve">
Operating Expense ÷ Total Expense
The expense ratio measures the amount of operating expenses compared to total expenses. A high ratio indicates that most expenditures are for operations, leaving the remaining balance for non-operating costs (such as debt service and capital improvements). If the non-operating balance is small, the utility is not likely to meet all its capital-related expenses, which might cause the system to deteriorate more rapidly.</t>
        </r>
      </text>
    </comment>
    <comment ref="CM2" authorId="0">
      <text>
        <r>
          <rPr>
            <b/>
            <sz val="8"/>
            <color indexed="81"/>
            <rFont val="Tahoma"/>
            <family val="2"/>
          </rPr>
          <t>Art Astarita - RCAP Solutions:</t>
        </r>
        <r>
          <rPr>
            <sz val="8"/>
            <color indexed="81"/>
            <rFont val="Tahoma"/>
            <family val="2"/>
          </rPr>
          <t xml:space="preserve">
Sales ÷ Total Revenue
The sales ratio measures the percntage of total revenue tht is made up of sales from operations. A low ratio indicates that the organizations is overly reliant on outside funding.</t>
        </r>
      </text>
    </comment>
    <comment ref="CP2" authorId="1">
      <text>
        <r>
          <rPr>
            <b/>
            <sz val="8"/>
            <color indexed="81"/>
            <rFont val="Tahoma"/>
            <family val="2"/>
          </rPr>
          <t>ART:</t>
        </r>
        <r>
          <rPr>
            <sz val="8"/>
            <color indexed="81"/>
            <rFont val="Tahoma"/>
            <family val="2"/>
          </rPr>
          <t xml:space="preserve">
Op+Sales-Exp Ratio Evaluation CE+CF-CG    (high good)</t>
        </r>
      </text>
    </comment>
    <comment ref="DC2" authorId="0">
      <text>
        <r>
          <rPr>
            <b/>
            <sz val="8"/>
            <color indexed="81"/>
            <rFont val="Tahoma"/>
            <family val="2"/>
          </rPr>
          <t>Art Astarita - RCAP Solutions:</t>
        </r>
        <r>
          <rPr>
            <sz val="8"/>
            <color indexed="81"/>
            <rFont val="Tahoma"/>
            <family val="2"/>
          </rPr>
          <t xml:space="preserve">
More points the better</t>
        </r>
      </text>
    </comment>
    <comment ref="AI3" authorId="0">
      <text>
        <r>
          <rPr>
            <b/>
            <sz val="8"/>
            <color indexed="81"/>
            <rFont val="Tahoma"/>
            <family val="2"/>
          </rPr>
          <t>Art Astarita - RCAP Solutions:</t>
        </r>
        <r>
          <rPr>
            <sz val="8"/>
            <color indexed="81"/>
            <rFont val="Tahoma"/>
            <family val="2"/>
          </rPr>
          <t xml:space="preserve">
31750 from SS </t>
        </r>
      </text>
    </comment>
    <comment ref="BN3" authorId="0">
      <text>
        <r>
          <rPr>
            <b/>
            <sz val="8"/>
            <color indexed="81"/>
            <rFont val="Tahoma"/>
            <family val="2"/>
          </rPr>
          <t>Art Astarita - RCAP Solutions:</t>
        </r>
        <r>
          <rPr>
            <sz val="8"/>
            <color indexed="81"/>
            <rFont val="Tahoma"/>
            <family val="2"/>
          </rPr>
          <t xml:space="preserve">
From SS</t>
        </r>
      </text>
    </comment>
    <comment ref="J4" authorId="0">
      <text>
        <r>
          <rPr>
            <b/>
            <sz val="8"/>
            <color indexed="81"/>
            <rFont val="Tahoma"/>
            <family val="2"/>
          </rPr>
          <t>Art Astarita - RCAP Solutions:</t>
        </r>
        <r>
          <rPr>
            <sz val="8"/>
            <color indexed="81"/>
            <rFont val="Tahoma"/>
            <family val="2"/>
          </rPr>
          <t xml:space="preserve">
4323 dwp: Connectionx2.5
5000 was given by Gen.Mgr in leter dated sept 2013</t>
        </r>
      </text>
    </comment>
    <comment ref="U4" authorId="0">
      <text>
        <r>
          <rPr>
            <b/>
            <sz val="8"/>
            <color indexed="81"/>
            <rFont val="Tahoma"/>
            <family val="2"/>
          </rPr>
          <t>Art Astarita - RCAP Solutions:</t>
        </r>
        <r>
          <rPr>
            <sz val="8"/>
            <color indexed="81"/>
            <rFont val="Tahoma"/>
            <family val="2"/>
          </rPr>
          <t xml:space="preserve">
Approximate</t>
        </r>
      </text>
    </comment>
    <comment ref="BW4" authorId="0">
      <text>
        <r>
          <rPr>
            <b/>
            <sz val="8"/>
            <color indexed="81"/>
            <rFont val="Tahoma"/>
            <family val="2"/>
          </rPr>
          <t>Art Astarita - RCAP Solutions:</t>
        </r>
        <r>
          <rPr>
            <sz val="8"/>
            <color indexed="81"/>
            <rFont val="Tahoma"/>
            <family val="2"/>
          </rPr>
          <t xml:space="preserve">
System took on more debt for an infrastructure project</t>
        </r>
      </text>
    </comment>
    <comment ref="W5" authorId="0">
      <text>
        <r>
          <rPr>
            <b/>
            <sz val="8"/>
            <color indexed="81"/>
            <rFont val="Tahoma"/>
            <family val="2"/>
          </rPr>
          <t>Art Astarita - RCAP Solutions:</t>
        </r>
        <r>
          <rPr>
            <sz val="8"/>
            <color indexed="81"/>
            <rFont val="Tahoma"/>
            <family val="2"/>
          </rPr>
          <t xml:space="preserve">
Floodplain locations</t>
        </r>
      </text>
    </comment>
    <comment ref="BN5" authorId="0">
      <text>
        <r>
          <rPr>
            <b/>
            <sz val="8"/>
            <color indexed="81"/>
            <rFont val="Tahoma"/>
            <family val="2"/>
          </rPr>
          <t>Art Astarita - RCAP Solutions:</t>
        </r>
        <r>
          <rPr>
            <sz val="8"/>
            <color indexed="81"/>
            <rFont val="Tahoma"/>
            <family val="2"/>
          </rPr>
          <t xml:space="preserve">
SS</t>
        </r>
      </text>
    </comment>
    <comment ref="X7" authorId="0">
      <text>
        <r>
          <rPr>
            <b/>
            <sz val="8"/>
            <color indexed="81"/>
            <rFont val="Tahoma"/>
            <family val="2"/>
          </rPr>
          <t>Art Astarita - RCAP Solutions:</t>
        </r>
        <r>
          <rPr>
            <sz val="8"/>
            <color indexed="81"/>
            <rFont val="Tahoma"/>
            <family val="2"/>
          </rPr>
          <t xml:space="preserve">
750gpm from Superintendent 10/9/13
Yield not mentioned. 850gpm is pump capacity</t>
        </r>
      </text>
    </comment>
    <comment ref="AS7" authorId="0">
      <text>
        <r>
          <rPr>
            <b/>
            <sz val="8"/>
            <color indexed="81"/>
            <rFont val="Tahoma"/>
            <family val="2"/>
          </rPr>
          <t>Art Astarita - RCAP Solutions:</t>
        </r>
        <r>
          <rPr>
            <sz val="8"/>
            <color indexed="81"/>
            <rFont val="Tahoma"/>
            <family val="2"/>
          </rPr>
          <t xml:space="preserve">
Superintendent not sure of the design capacity.
Ask Larry Garvin.</t>
        </r>
      </text>
    </comment>
    <comment ref="BE7" authorId="0">
      <text>
        <r>
          <rPr>
            <b/>
            <sz val="8"/>
            <color indexed="81"/>
            <rFont val="Tahoma"/>
            <family val="2"/>
          </rPr>
          <t>Art Astarita - RCAP Solutions:</t>
        </r>
        <r>
          <rPr>
            <sz val="8"/>
            <color indexed="81"/>
            <rFont val="Tahoma"/>
            <family val="2"/>
          </rPr>
          <t xml:space="preserve">
Dissolved District and went under Town in ~2000</t>
        </r>
      </text>
    </comment>
    <comment ref="BS7" authorId="0">
      <text>
        <r>
          <rPr>
            <b/>
            <sz val="8"/>
            <color indexed="81"/>
            <rFont val="Tahoma"/>
            <family val="2"/>
          </rPr>
          <t>Art Astarita - RCAP Solutions:</t>
        </r>
        <r>
          <rPr>
            <sz val="8"/>
            <color indexed="81"/>
            <rFont val="Tahoma"/>
            <family val="2"/>
          </rPr>
          <t xml:space="preserve">
Unknown. Not documented in their accounting report or in PUC rpt</t>
        </r>
      </text>
    </comment>
    <comment ref="BW7" authorId="0">
      <text>
        <r>
          <rPr>
            <b/>
            <sz val="8"/>
            <color indexed="81"/>
            <rFont val="Tahoma"/>
            <family val="2"/>
          </rPr>
          <t>Art Astarita - RCAP Solutions:</t>
        </r>
        <r>
          <rPr>
            <sz val="8"/>
            <color indexed="81"/>
            <rFont val="Tahoma"/>
            <family val="2"/>
          </rPr>
          <t xml:space="preserve">
PUC shows not payment between 2001 and 2013</t>
        </r>
      </text>
    </comment>
    <comment ref="AI8" authorId="0">
      <text>
        <r>
          <rPr>
            <b/>
            <sz val="8"/>
            <color indexed="81"/>
            <rFont val="Tahoma"/>
            <family val="2"/>
          </rPr>
          <t>Art Astarita - RCAP Solutions:</t>
        </r>
        <r>
          <rPr>
            <sz val="8"/>
            <color indexed="81"/>
            <rFont val="Tahoma"/>
            <family val="2"/>
          </rPr>
          <t xml:space="preserve">
From SS</t>
        </r>
      </text>
    </comment>
    <comment ref="BG8" authorId="0">
      <text>
        <r>
          <rPr>
            <b/>
            <sz val="8"/>
            <color indexed="81"/>
            <rFont val="Tahoma"/>
            <family val="2"/>
          </rPr>
          <t>Art Astarita - RCAP Solutions:</t>
        </r>
        <r>
          <rPr>
            <sz val="8"/>
            <color indexed="81"/>
            <rFont val="Tahoma"/>
            <family val="2"/>
          </rPr>
          <t xml:space="preserve">
From SS
</t>
        </r>
      </text>
    </comment>
    <comment ref="B9" authorId="0">
      <text>
        <r>
          <rPr>
            <b/>
            <sz val="8"/>
            <color indexed="81"/>
            <rFont val="Tahoma"/>
            <family val="2"/>
          </rPr>
          <t>Art Astarita - RCAP Solutions:</t>
        </r>
        <r>
          <rPr>
            <sz val="8"/>
            <color indexed="81"/>
            <rFont val="Tahoma"/>
            <family val="2"/>
          </rPr>
          <t xml:space="preserve">
Could have combined numbers for elecric, water and sewer</t>
        </r>
      </text>
    </comment>
    <comment ref="BG9" authorId="0">
      <text>
        <r>
          <rPr>
            <b/>
            <sz val="8"/>
            <color indexed="81"/>
            <rFont val="Tahoma"/>
            <family val="2"/>
          </rPr>
          <t>Art Astarita - RCAP Solutions:</t>
        </r>
        <r>
          <rPr>
            <sz val="8"/>
            <color indexed="81"/>
            <rFont val="Tahoma"/>
            <family val="2"/>
          </rPr>
          <t xml:space="preserve">
From SS</t>
        </r>
      </text>
    </comment>
    <comment ref="BW9" authorId="0">
      <text>
        <r>
          <rPr>
            <b/>
            <sz val="8"/>
            <color indexed="81"/>
            <rFont val="Tahoma"/>
            <family val="2"/>
          </rPr>
          <t>Art Astarita - RCAP Solutions:</t>
        </r>
        <r>
          <rPr>
            <sz val="8"/>
            <color indexed="81"/>
            <rFont val="Tahoma"/>
            <family val="2"/>
          </rPr>
          <t xml:space="preserve">
System took on more debt for an infrastructure project</t>
        </r>
      </text>
    </comment>
    <comment ref="U10" authorId="0">
      <text>
        <r>
          <rPr>
            <b/>
            <sz val="8"/>
            <color indexed="81"/>
            <rFont val="Tahoma"/>
            <family val="2"/>
          </rPr>
          <t>Art Astarita - RCAP Solutions:</t>
        </r>
        <r>
          <rPr>
            <sz val="8"/>
            <color indexed="81"/>
            <rFont val="Tahoma"/>
            <family val="2"/>
          </rPr>
          <t xml:space="preserve">
25 ac around wellheads</t>
        </r>
      </text>
    </comment>
    <comment ref="AI10" authorId="0">
      <text>
        <r>
          <rPr>
            <b/>
            <sz val="8"/>
            <color indexed="81"/>
            <rFont val="Tahoma"/>
            <family val="2"/>
          </rPr>
          <t>Art Astarita - RCAP Solutions:</t>
        </r>
        <r>
          <rPr>
            <sz val="8"/>
            <color indexed="81"/>
            <rFont val="Tahoma"/>
            <family val="2"/>
          </rPr>
          <t xml:space="preserve">
From RCAP</t>
        </r>
      </text>
    </comment>
    <comment ref="AJ10" authorId="1">
      <text>
        <r>
          <rPr>
            <b/>
            <sz val="8"/>
            <color indexed="81"/>
            <rFont val="Tahoma"/>
            <family val="2"/>
          </rPr>
          <t>ART:</t>
        </r>
        <r>
          <rPr>
            <sz val="8"/>
            <color indexed="81"/>
            <rFont val="Tahoma"/>
            <family val="2"/>
          </rPr>
          <t xml:space="preserve">
From RCAP</t>
        </r>
      </text>
    </comment>
    <comment ref="AK10" authorId="0">
      <text>
        <r>
          <rPr>
            <b/>
            <sz val="8"/>
            <color indexed="81"/>
            <rFont val="Tahoma"/>
            <family val="2"/>
          </rPr>
          <t>Art Astarita - RCAP Solutions:</t>
        </r>
        <r>
          <rPr>
            <sz val="8"/>
            <color indexed="81"/>
            <rFont val="Tahoma"/>
            <family val="2"/>
          </rPr>
          <t xml:space="preserve">
From PUC 2010</t>
        </r>
      </text>
    </comment>
    <comment ref="BN10" authorId="0">
      <text>
        <r>
          <rPr>
            <b/>
            <sz val="8"/>
            <color indexed="81"/>
            <rFont val="Tahoma"/>
            <family val="2"/>
          </rPr>
          <t>Art Astarita - RCAP Solutions:</t>
        </r>
        <r>
          <rPr>
            <sz val="8"/>
            <color indexed="81"/>
            <rFont val="Tahoma"/>
            <family val="2"/>
          </rPr>
          <t xml:space="preserve">
from SS. </t>
        </r>
      </text>
    </comment>
    <comment ref="BO10" authorId="0">
      <text>
        <r>
          <rPr>
            <b/>
            <sz val="8"/>
            <color indexed="81"/>
            <rFont val="Tahoma"/>
            <family val="2"/>
          </rPr>
          <t>Art Astarita - RCAP Solutions:</t>
        </r>
        <r>
          <rPr>
            <sz val="8"/>
            <color indexed="81"/>
            <rFont val="Tahoma"/>
            <family val="2"/>
          </rPr>
          <t xml:space="preserve">
From SS</t>
        </r>
      </text>
    </comment>
    <comment ref="AT11" authorId="0">
      <text>
        <r>
          <rPr>
            <b/>
            <sz val="8"/>
            <color indexed="81"/>
            <rFont val="Tahoma"/>
            <family val="2"/>
          </rPr>
          <t>Art Astarita - RCAP Solutions:</t>
        </r>
        <r>
          <rPr>
            <sz val="8"/>
            <color indexed="81"/>
            <rFont val="Tahoma"/>
            <family val="2"/>
          </rPr>
          <t xml:space="preserve">
From PUC 2012</t>
        </r>
      </text>
    </comment>
    <comment ref="AU11" authorId="0">
      <text>
        <r>
          <rPr>
            <b/>
            <sz val="8"/>
            <color indexed="81"/>
            <rFont val="Tahoma"/>
            <family val="2"/>
          </rPr>
          <t>Art Astarita - RCAP Solutions:</t>
        </r>
        <r>
          <rPr>
            <sz val="8"/>
            <color indexed="81"/>
            <rFont val="Tahoma"/>
            <family val="2"/>
          </rPr>
          <t xml:space="preserve">
From PUC 2012</t>
        </r>
      </text>
    </comment>
    <comment ref="T12" authorId="0">
      <text>
        <r>
          <rPr>
            <b/>
            <sz val="8"/>
            <color indexed="81"/>
            <rFont val="Tahoma"/>
            <family val="2"/>
          </rPr>
          <t>Art Astarita - RCAP Solutions:</t>
        </r>
        <r>
          <rPr>
            <sz val="8"/>
            <color indexed="81"/>
            <rFont val="Tahoma"/>
            <family val="2"/>
          </rPr>
          <t xml:space="preserve">
From Superintendent's estimate of all three wells.</t>
        </r>
      </text>
    </comment>
    <comment ref="U12" authorId="0">
      <text>
        <r>
          <rPr>
            <b/>
            <sz val="8"/>
            <color indexed="81"/>
            <rFont val="Tahoma"/>
            <family val="2"/>
          </rPr>
          <t>Art Astarita - RCAP Solutions:</t>
        </r>
        <r>
          <rPr>
            <sz val="8"/>
            <color indexed="81"/>
            <rFont val="Tahoma"/>
            <family val="2"/>
          </rPr>
          <t xml:space="preserve">
From Superintendent's estimate of all three wells.
</t>
        </r>
      </text>
    </comment>
    <comment ref="W12" authorId="0">
      <text>
        <r>
          <rPr>
            <b/>
            <sz val="8"/>
            <color indexed="81"/>
            <rFont val="Tahoma"/>
            <family val="2"/>
          </rPr>
          <t>Art Astarita - RCAP Solutions:</t>
        </r>
        <r>
          <rPr>
            <sz val="8"/>
            <color indexed="81"/>
            <rFont val="Tahoma"/>
            <family val="2"/>
          </rPr>
          <t xml:space="preserve">
Floodplain location for at least one well</t>
        </r>
      </text>
    </comment>
    <comment ref="BW12" authorId="0">
      <text>
        <r>
          <rPr>
            <b/>
            <sz val="8"/>
            <color indexed="81"/>
            <rFont val="Tahoma"/>
            <family val="2"/>
          </rPr>
          <t>Art Astarita - RCAP Solutions:</t>
        </r>
        <r>
          <rPr>
            <sz val="8"/>
            <color indexed="81"/>
            <rFont val="Tahoma"/>
            <family val="2"/>
          </rPr>
          <t xml:space="preserve">
System took on more debt for an infrastructure project</t>
        </r>
      </text>
    </comment>
    <comment ref="M13" authorId="0">
      <text>
        <r>
          <rPr>
            <b/>
            <sz val="8"/>
            <color indexed="81"/>
            <rFont val="Tahoma"/>
            <family val="2"/>
          </rPr>
          <t>Art Astarita - RCAP Solutions:</t>
        </r>
        <r>
          <rPr>
            <sz val="8"/>
            <color indexed="81"/>
            <rFont val="Tahoma"/>
            <family val="2"/>
          </rPr>
          <t xml:space="preserve">
Weighted avg MHI relative to 3-town population</t>
        </r>
      </text>
    </comment>
    <comment ref="P13" authorId="0">
      <text>
        <r>
          <rPr>
            <b/>
            <sz val="8"/>
            <color indexed="81"/>
            <rFont val="Tahoma"/>
            <family val="2"/>
          </rPr>
          <t>Art Astarita - RCAP Solutions:</t>
        </r>
        <r>
          <rPr>
            <sz val="8"/>
            <color indexed="81"/>
            <rFont val="Tahoma"/>
            <family val="2"/>
          </rPr>
          <t xml:space="preserve">
Weighted avg LMI relative to 3-town population</t>
        </r>
      </text>
    </comment>
    <comment ref="U13" authorId="0">
      <text>
        <r>
          <rPr>
            <b/>
            <sz val="8"/>
            <color indexed="81"/>
            <rFont val="Tahoma"/>
            <family val="2"/>
          </rPr>
          <t>Art Astarita - RCAP Solutions:</t>
        </r>
        <r>
          <rPr>
            <sz val="8"/>
            <color indexed="81"/>
            <rFont val="Tahoma"/>
            <family val="2"/>
          </rPr>
          <t xml:space="preserve">
2012 purchased more land around Youngs Lake.</t>
        </r>
      </text>
    </comment>
    <comment ref="X13" authorId="0">
      <text>
        <r>
          <rPr>
            <b/>
            <sz val="8"/>
            <color indexed="81"/>
            <rFont val="Tahoma"/>
            <family val="2"/>
          </rPr>
          <t>Art Astarita - RCAP Solutions:</t>
        </r>
        <r>
          <rPr>
            <sz val="8"/>
            <color indexed="81"/>
            <rFont val="Tahoma"/>
            <family val="2"/>
          </rPr>
          <t xml:space="preserve">
All gravity feed. 
Filter beds limit source flow/yield to 100gpm per filter bed or 300gpm.</t>
        </r>
      </text>
    </comment>
    <comment ref="AG13" authorId="0">
      <text>
        <r>
          <rPr>
            <b/>
            <sz val="8"/>
            <color indexed="81"/>
            <rFont val="Tahoma"/>
            <family val="2"/>
          </rPr>
          <t>Art Astarita - RCAP Solutions:</t>
        </r>
        <r>
          <rPr>
            <sz val="8"/>
            <color indexed="81"/>
            <rFont val="Tahoma"/>
            <family val="2"/>
          </rPr>
          <t xml:space="preserve">
Decreased frm 750K</t>
        </r>
      </text>
    </comment>
    <comment ref="AH13" authorId="0">
      <text>
        <r>
          <rPr>
            <b/>
            <sz val="8"/>
            <color indexed="81"/>
            <rFont val="Tahoma"/>
            <family val="2"/>
          </rPr>
          <t>Art Astarita - RCAP Solutions:</t>
        </r>
        <r>
          <rPr>
            <sz val="8"/>
            <color indexed="81"/>
            <rFont val="Tahoma"/>
            <family val="2"/>
          </rPr>
          <t xml:space="preserve">
From SS</t>
        </r>
      </text>
    </comment>
    <comment ref="AN13" authorId="0">
      <text>
        <r>
          <rPr>
            <b/>
            <sz val="8"/>
            <color indexed="81"/>
            <rFont val="Tahoma"/>
            <family val="2"/>
          </rPr>
          <t>Art Astarita - RCAP Solutions:</t>
        </r>
        <r>
          <rPr>
            <sz val="8"/>
            <color indexed="81"/>
            <rFont val="Tahoma"/>
            <family val="2"/>
          </rPr>
          <t xml:space="preserve">
10/7/13: "should be under 30%" now due to pipe work.</t>
        </r>
      </text>
    </comment>
    <comment ref="BH13" authorId="0">
      <text>
        <r>
          <rPr>
            <b/>
            <sz val="8"/>
            <color indexed="81"/>
            <rFont val="Tahoma"/>
            <family val="2"/>
          </rPr>
          <t>Art Astarita - RCAP Solutions:</t>
        </r>
        <r>
          <rPr>
            <sz val="8"/>
            <color indexed="81"/>
            <rFont val="Tahoma"/>
            <family val="2"/>
          </rPr>
          <t xml:space="preserve">
Previously $308 in 2007</t>
        </r>
      </text>
    </comment>
    <comment ref="BI13" authorId="0">
      <text>
        <r>
          <rPr>
            <b/>
            <sz val="8"/>
            <color indexed="81"/>
            <rFont val="Tahoma"/>
            <family val="2"/>
          </rPr>
          <t>Art Astarita - RCAP Solutions:</t>
        </r>
        <r>
          <rPr>
            <sz val="8"/>
            <color indexed="81"/>
            <rFont val="Tahoma"/>
            <family val="2"/>
          </rPr>
          <t xml:space="preserve">
3% increase April 2013
Previous $308 in 2007</t>
        </r>
      </text>
    </comment>
    <comment ref="BW13" authorId="0">
      <text>
        <r>
          <rPr>
            <b/>
            <sz val="8"/>
            <color indexed="81"/>
            <rFont val="Tahoma"/>
            <family val="2"/>
          </rPr>
          <t>Art Astarita - RCAP Solutions:</t>
        </r>
        <r>
          <rPr>
            <sz val="8"/>
            <color indexed="81"/>
            <rFont val="Tahoma"/>
            <family val="2"/>
          </rPr>
          <t xml:space="preserve">
System took on more debt for an infrastructure project</t>
        </r>
      </text>
    </comment>
    <comment ref="CV13" authorId="0">
      <text>
        <r>
          <rPr>
            <b/>
            <sz val="8"/>
            <color indexed="81"/>
            <rFont val="Tahoma"/>
            <family val="2"/>
          </rPr>
          <t>Art Astarita - RCAP Solutions:</t>
        </r>
        <r>
          <rPr>
            <sz val="8"/>
            <color indexed="81"/>
            <rFont val="Tahoma"/>
            <family val="2"/>
          </rPr>
          <t xml:space="preserve">
Potato industry takes a lot of water.</t>
        </r>
      </text>
    </comment>
    <comment ref="CZ13" authorId="0">
      <text>
        <r>
          <rPr>
            <b/>
            <sz val="8"/>
            <color indexed="81"/>
            <rFont val="Tahoma"/>
            <family val="2"/>
          </rPr>
          <t>Art Astarita - RCAP Solutions:</t>
        </r>
        <r>
          <rPr>
            <sz val="8"/>
            <color indexed="81"/>
            <rFont val="Tahoma"/>
            <family val="2"/>
          </rPr>
          <t xml:space="preserve">
Previously 2007. as per super: 2012</t>
        </r>
      </text>
    </comment>
    <comment ref="U14" authorId="0">
      <text>
        <r>
          <rPr>
            <b/>
            <sz val="8"/>
            <color indexed="81"/>
            <rFont val="Tahoma"/>
            <family val="2"/>
          </rPr>
          <t>Art Astarita - RCAP Solutions:</t>
        </r>
        <r>
          <rPr>
            <sz val="8"/>
            <color indexed="81"/>
            <rFont val="Tahoma"/>
            <family val="2"/>
          </rPr>
          <t xml:space="preserve">
From SS: 75% of 2500 day</t>
        </r>
      </text>
    </comment>
    <comment ref="W14" authorId="0">
      <text>
        <r>
          <rPr>
            <b/>
            <sz val="8"/>
            <color indexed="81"/>
            <rFont val="Tahoma"/>
            <family val="2"/>
          </rPr>
          <t>Art Astarita - RCAP Solutions:</t>
        </r>
        <r>
          <rPr>
            <sz val="8"/>
            <color indexed="81"/>
            <rFont val="Tahoma"/>
            <family val="2"/>
          </rPr>
          <t xml:space="preserve">
Grdwater under influence of surface water</t>
        </r>
      </text>
    </comment>
    <comment ref="AG14" authorId="0">
      <text>
        <r>
          <rPr>
            <b/>
            <sz val="8"/>
            <color indexed="81"/>
            <rFont val="Tahoma"/>
            <family val="2"/>
          </rPr>
          <t>Art Astarita - RCAP Solutions:</t>
        </r>
        <r>
          <rPr>
            <sz val="8"/>
            <color indexed="81"/>
            <rFont val="Tahoma"/>
            <family val="2"/>
          </rPr>
          <t xml:space="preserve">
From SS</t>
        </r>
      </text>
    </comment>
    <comment ref="AH14" authorId="0">
      <text>
        <r>
          <rPr>
            <b/>
            <sz val="8"/>
            <color indexed="81"/>
            <rFont val="Tahoma"/>
            <family val="2"/>
          </rPr>
          <t>Art Astarita - RCAP Solutions:</t>
        </r>
        <r>
          <rPr>
            <sz val="8"/>
            <color indexed="81"/>
            <rFont val="Tahoma"/>
            <family val="2"/>
          </rPr>
          <t xml:space="preserve">
From SS</t>
        </r>
      </text>
    </comment>
    <comment ref="AJ15" authorId="0">
      <text>
        <r>
          <rPr>
            <b/>
            <sz val="8"/>
            <color indexed="81"/>
            <rFont val="Tahoma"/>
            <family val="2"/>
          </rPr>
          <t>Art Astarita - RCAP Solutions:</t>
        </r>
        <r>
          <rPr>
            <sz val="8"/>
            <color indexed="81"/>
            <rFont val="Tahoma"/>
            <family val="2"/>
          </rPr>
          <t xml:space="preserve">
From 2011 GIS work</t>
        </r>
      </text>
    </comment>
    <comment ref="BN15" authorId="0">
      <text>
        <r>
          <rPr>
            <b/>
            <sz val="8"/>
            <color indexed="81"/>
            <rFont val="Tahoma"/>
            <family val="2"/>
          </rPr>
          <t>Art Astarita - RCAP Solutions:</t>
        </r>
        <r>
          <rPr>
            <sz val="8"/>
            <color indexed="81"/>
            <rFont val="Tahoma"/>
            <family val="2"/>
          </rPr>
          <t xml:space="preserve">
From 2011 SS.  
PUC 2008 had no metered customers</t>
        </r>
      </text>
    </comment>
    <comment ref="BO15" authorId="0">
      <text>
        <r>
          <rPr>
            <b/>
            <sz val="8"/>
            <color indexed="81"/>
            <rFont val="Tahoma"/>
            <family val="2"/>
          </rPr>
          <t>Art Astarita - RCAP Solutions:</t>
        </r>
        <r>
          <rPr>
            <sz val="8"/>
            <color indexed="81"/>
            <rFont val="Tahoma"/>
            <family val="2"/>
          </rPr>
          <t xml:space="preserve">
From 2011 SS.  
PUC 2008 had no metered customers</t>
        </r>
      </text>
    </comment>
    <comment ref="BV15" authorId="0">
      <text>
        <r>
          <rPr>
            <b/>
            <sz val="8"/>
            <color indexed="81"/>
            <rFont val="Tahoma"/>
            <family val="2"/>
          </rPr>
          <t>Art Astarita - RCAP Solutions:</t>
        </r>
        <r>
          <rPr>
            <sz val="8"/>
            <color indexed="81"/>
            <rFont val="Tahoma"/>
            <family val="2"/>
          </rPr>
          <t xml:space="preserve">
None reported on last PUC 2008 report</t>
        </r>
      </text>
    </comment>
    <comment ref="U16" authorId="0">
      <text>
        <r>
          <rPr>
            <b/>
            <sz val="8"/>
            <color indexed="81"/>
            <rFont val="Tahoma"/>
            <family val="2"/>
          </rPr>
          <t>Art Astarita - RCAP Solutions:</t>
        </r>
        <r>
          <rPr>
            <sz val="8"/>
            <color indexed="81"/>
            <rFont val="Tahoma"/>
            <family val="2"/>
          </rPr>
          <t xml:space="preserve">
SS: 100% within 300' of WH
</t>
        </r>
      </text>
    </comment>
    <comment ref="AE16" authorId="0">
      <text>
        <r>
          <rPr>
            <b/>
            <sz val="8"/>
            <color indexed="81"/>
            <rFont val="Tahoma"/>
            <family val="2"/>
          </rPr>
          <t>Art Astarita - RCAP Solutions:</t>
        </r>
        <r>
          <rPr>
            <sz val="8"/>
            <color indexed="81"/>
            <rFont val="Tahoma"/>
            <family val="2"/>
          </rPr>
          <t xml:space="preserve">
Flouride reporting</t>
        </r>
      </text>
    </comment>
    <comment ref="BG16" authorId="0">
      <text>
        <r>
          <rPr>
            <b/>
            <sz val="8"/>
            <color indexed="81"/>
            <rFont val="Tahoma"/>
            <family val="2"/>
          </rPr>
          <t>Art Astarita - RCAP Solutions:</t>
        </r>
        <r>
          <rPr>
            <sz val="8"/>
            <color indexed="81"/>
            <rFont val="Tahoma"/>
            <family val="2"/>
          </rPr>
          <t xml:space="preserve">
from SS
the PUC has 6</t>
        </r>
      </text>
    </comment>
    <comment ref="W17" authorId="0">
      <text>
        <r>
          <rPr>
            <b/>
            <sz val="8"/>
            <color indexed="81"/>
            <rFont val="Tahoma"/>
            <family val="2"/>
          </rPr>
          <t>Art Astarita - RCAP Solutions:</t>
        </r>
        <r>
          <rPr>
            <sz val="8"/>
            <color indexed="81"/>
            <rFont val="Tahoma"/>
            <family val="2"/>
          </rPr>
          <t xml:space="preserve">
Floodplain location</t>
        </r>
      </text>
    </comment>
    <comment ref="AE17" authorId="0">
      <text>
        <r>
          <rPr>
            <b/>
            <sz val="8"/>
            <color indexed="81"/>
            <rFont val="Tahoma"/>
            <family val="2"/>
          </rPr>
          <t>Art Astarita - RCAP Solutions:</t>
        </r>
        <r>
          <rPr>
            <sz val="8"/>
            <color indexed="81"/>
            <rFont val="Tahoma"/>
            <family val="2"/>
          </rPr>
          <t xml:space="preserve">
Fl and Coloform</t>
        </r>
      </text>
    </comment>
    <comment ref="J18" authorId="0">
      <text>
        <r>
          <rPr>
            <b/>
            <sz val="8"/>
            <color indexed="81"/>
            <rFont val="Tahoma"/>
            <family val="2"/>
          </rPr>
          <t>Art Astarita - RCAP Solutions:</t>
        </r>
        <r>
          <rPr>
            <sz val="8"/>
            <color indexed="81"/>
            <rFont val="Tahoma"/>
            <family val="2"/>
          </rPr>
          <t xml:space="preserve">
As per superintendent's suggestion x connections by 2 instead of 2.3</t>
        </r>
      </text>
    </comment>
    <comment ref="BN18" authorId="0">
      <text>
        <r>
          <rPr>
            <b/>
            <sz val="8"/>
            <color indexed="81"/>
            <rFont val="Tahoma"/>
            <family val="2"/>
          </rPr>
          <t>Art Astarita - RCAP Solutions:</t>
        </r>
        <r>
          <rPr>
            <sz val="8"/>
            <color indexed="81"/>
            <rFont val="Tahoma"/>
            <family val="2"/>
          </rPr>
          <t xml:space="preserve">
From Superintendent 14 Aug 2013</t>
        </r>
      </text>
    </comment>
    <comment ref="AO19" authorId="0">
      <text>
        <r>
          <rPr>
            <b/>
            <sz val="8"/>
            <color indexed="81"/>
            <rFont val="Tahoma"/>
            <family val="2"/>
          </rPr>
          <t>Art Astarita - RCAP Solutions:</t>
        </r>
        <r>
          <rPr>
            <sz val="8"/>
            <color indexed="81"/>
            <rFont val="Tahoma"/>
            <family val="2"/>
          </rPr>
          <t xml:space="preserve">
In 2012, system there was a pipe replacement project.</t>
        </r>
      </text>
    </comment>
    <comment ref="X21" authorId="0">
      <text>
        <r>
          <rPr>
            <b/>
            <sz val="8"/>
            <color indexed="81"/>
            <rFont val="Tahoma"/>
            <family val="2"/>
          </rPr>
          <t>Art Astarita - RCAP Solutions:</t>
        </r>
        <r>
          <rPr>
            <sz val="8"/>
            <color indexed="81"/>
            <rFont val="Tahoma"/>
            <family val="2"/>
          </rPr>
          <t xml:space="preserve">
1902 well produces 22Kgpd as per super 8/14/13.
Other two wells have not been used in 25 years. They do not know what the yield is for those.</t>
        </r>
      </text>
    </comment>
    <comment ref="J22" authorId="0">
      <text>
        <r>
          <rPr>
            <b/>
            <sz val="8"/>
            <color indexed="81"/>
            <rFont val="Tahoma"/>
            <family val="2"/>
          </rPr>
          <t>Art Astarita - RCAP Solutions:</t>
        </r>
        <r>
          <rPr>
            <sz val="8"/>
            <color indexed="81"/>
            <rFont val="Tahoma"/>
            <family val="2"/>
          </rPr>
          <t xml:space="preserve">
• Population (connections*2.5) may not reflect true consumer base.  The town has hospital, college, nursing home, Jail and Veteran’s Home.</t>
        </r>
      </text>
    </comment>
    <comment ref="X23" authorId="0">
      <text>
        <r>
          <rPr>
            <b/>
            <sz val="8"/>
            <color indexed="81"/>
            <rFont val="Tahoma"/>
            <family val="2"/>
          </rPr>
          <t>Art Astarita - RCAP Solutions:</t>
        </r>
        <r>
          <rPr>
            <sz val="8"/>
            <color indexed="81"/>
            <rFont val="Tahoma"/>
            <family val="2"/>
          </rPr>
          <t xml:space="preserve">
as per superintendent</t>
        </r>
      </text>
    </comment>
    <comment ref="M24" authorId="0">
      <text>
        <r>
          <rPr>
            <b/>
            <sz val="8"/>
            <color indexed="81"/>
            <rFont val="Tahoma"/>
            <family val="2"/>
          </rPr>
          <t>Art Astarita - RCAP Solutions:</t>
        </r>
        <r>
          <rPr>
            <sz val="8"/>
            <color indexed="81"/>
            <rFont val="Tahoma"/>
            <family val="2"/>
          </rPr>
          <t xml:space="preserve">
Weighted Average of Pleasant Point and Easport</t>
        </r>
      </text>
    </comment>
    <comment ref="P24" authorId="0">
      <text>
        <r>
          <rPr>
            <b/>
            <sz val="8"/>
            <color indexed="81"/>
            <rFont val="Tahoma"/>
            <family val="2"/>
          </rPr>
          <t>Art Astarita - RCAP Solutions:</t>
        </r>
        <r>
          <rPr>
            <sz val="8"/>
            <color indexed="81"/>
            <rFont val="Tahoma"/>
            <family val="2"/>
          </rPr>
          <t xml:space="preserve">
Weighted Average of Pleasant Point and Easport</t>
        </r>
      </text>
    </comment>
    <comment ref="X24" authorId="0">
      <text>
        <r>
          <rPr>
            <b/>
            <sz val="8"/>
            <color indexed="81"/>
            <rFont val="Tahoma"/>
            <family val="2"/>
          </rPr>
          <t>Art Astarita - RCAP Solutions:</t>
        </r>
        <r>
          <rPr>
            <sz val="8"/>
            <color indexed="81"/>
            <rFont val="Tahoma"/>
            <family val="2"/>
          </rPr>
          <t xml:space="preserve">
From Al Hodsdon</t>
        </r>
      </text>
    </comment>
    <comment ref="AS24" authorId="0">
      <text>
        <r>
          <rPr>
            <b/>
            <sz val="8"/>
            <color indexed="81"/>
            <rFont val="Tahoma"/>
            <family val="2"/>
          </rPr>
          <t>Art Astarita - RCAP Solutions:</t>
        </r>
        <r>
          <rPr>
            <sz val="8"/>
            <color indexed="81"/>
            <rFont val="Tahoma"/>
            <family val="2"/>
          </rPr>
          <t xml:space="preserve">
From Al Hodsdon</t>
        </r>
      </text>
    </comment>
    <comment ref="BO25" authorId="0">
      <text>
        <r>
          <rPr>
            <b/>
            <sz val="8"/>
            <color indexed="81"/>
            <rFont val="Tahoma"/>
            <family val="2"/>
          </rPr>
          <t>Art Astarita - RCAP Solutions:</t>
        </r>
        <r>
          <rPr>
            <sz val="8"/>
            <color indexed="81"/>
            <rFont val="Tahoma"/>
            <family val="2"/>
          </rPr>
          <t xml:space="preserve">
From SS</t>
        </r>
      </text>
    </comment>
  </commentList>
</comments>
</file>

<file path=xl/comments2.xml><?xml version="1.0" encoding="utf-8"?>
<comments xmlns="http://schemas.openxmlformats.org/spreadsheetml/2006/main">
  <authors>
    <author>Art Astarita - RCAP Solutions</author>
  </authors>
  <commentList>
    <comment ref="C3" authorId="0">
      <text>
        <r>
          <rPr>
            <b/>
            <sz val="8"/>
            <color indexed="81"/>
            <rFont val="Tahoma"/>
            <family val="2"/>
          </rPr>
          <t>Art Astarita - RCAP Solutions:</t>
        </r>
        <r>
          <rPr>
            <sz val="8"/>
            <color indexed="81"/>
            <rFont val="Tahoma"/>
            <family val="2"/>
          </rPr>
          <t xml:space="preserve">
From 2011 SS.  
PUC 2008 had no metered customers</t>
        </r>
      </text>
    </comment>
    <comment ref="C8" authorId="0">
      <text>
        <r>
          <rPr>
            <b/>
            <sz val="8"/>
            <color indexed="81"/>
            <rFont val="Tahoma"/>
            <family val="2"/>
          </rPr>
          <t>Art Astarita - RCAP Solutions:</t>
        </r>
        <r>
          <rPr>
            <sz val="8"/>
            <color indexed="81"/>
            <rFont val="Tahoma"/>
            <family val="2"/>
          </rPr>
          <t xml:space="preserve">
From Superintendent 14 Aug 2013</t>
        </r>
      </text>
    </comment>
    <comment ref="A12" authorId="0">
      <text>
        <r>
          <rPr>
            <b/>
            <sz val="8"/>
            <color indexed="81"/>
            <rFont val="Tahoma"/>
            <family val="2"/>
          </rPr>
          <t>Art Astarita - RCAP Solutions:</t>
        </r>
        <r>
          <rPr>
            <sz val="8"/>
            <color indexed="81"/>
            <rFont val="Tahoma"/>
            <family val="2"/>
          </rPr>
          <t xml:space="preserve">
Could have combined numbers for elecric, water and sewer</t>
        </r>
      </text>
    </comment>
    <comment ref="C17" authorId="0">
      <text>
        <r>
          <rPr>
            <b/>
            <sz val="8"/>
            <color indexed="81"/>
            <rFont val="Tahoma"/>
            <family val="2"/>
          </rPr>
          <t>Art Astarita - RCAP Solutions:</t>
        </r>
        <r>
          <rPr>
            <sz val="8"/>
            <color indexed="81"/>
            <rFont val="Tahoma"/>
            <family val="2"/>
          </rPr>
          <t xml:space="preserve">
From SS</t>
        </r>
      </text>
    </comment>
    <comment ref="C22" authorId="0">
      <text>
        <r>
          <rPr>
            <b/>
            <sz val="8"/>
            <color indexed="81"/>
            <rFont val="Tahoma"/>
            <family val="2"/>
          </rPr>
          <t>Art Astarita - RCAP Solutions:</t>
        </r>
        <r>
          <rPr>
            <sz val="8"/>
            <color indexed="81"/>
            <rFont val="Tahoma"/>
            <family val="2"/>
          </rPr>
          <t xml:space="preserve">
from SS. </t>
        </r>
      </text>
    </comment>
    <comment ref="C23" authorId="0">
      <text>
        <r>
          <rPr>
            <b/>
            <sz val="8"/>
            <color indexed="81"/>
            <rFont val="Tahoma"/>
            <family val="2"/>
          </rPr>
          <t>Art Astarita - RCAP Solutions:</t>
        </r>
        <r>
          <rPr>
            <sz val="8"/>
            <color indexed="81"/>
            <rFont val="Tahoma"/>
            <family val="2"/>
          </rPr>
          <t xml:space="preserve">
SS</t>
        </r>
      </text>
    </comment>
    <comment ref="A29" authorId="0">
      <text>
        <r>
          <rPr>
            <b/>
            <sz val="8"/>
            <color indexed="81"/>
            <rFont val="Tahoma"/>
            <family val="2"/>
          </rPr>
          <t>Art Astarita - RCAP Solutions:</t>
        </r>
        <r>
          <rPr>
            <sz val="8"/>
            <color indexed="81"/>
            <rFont val="Tahoma"/>
            <family val="2"/>
          </rPr>
          <t xml:space="preserve">
Could have combined numbers for elecric, water and sewer</t>
        </r>
      </text>
    </comment>
    <comment ref="B70" authorId="0">
      <text>
        <r>
          <rPr>
            <b/>
            <sz val="8"/>
            <color indexed="81"/>
            <rFont val="Tahoma"/>
            <family val="2"/>
          </rPr>
          <t>Art Astarita - RCAP Solutions:</t>
        </r>
        <r>
          <rPr>
            <sz val="8"/>
            <color indexed="81"/>
            <rFont val="Tahoma"/>
            <family val="2"/>
          </rPr>
          <t xml:space="preserve">
Could have combined numbers for elecric, water and sewer</t>
        </r>
      </text>
    </comment>
  </commentList>
</comments>
</file>

<file path=xl/comments3.xml><?xml version="1.0" encoding="utf-8"?>
<comments xmlns="http://schemas.openxmlformats.org/spreadsheetml/2006/main">
  <authors>
    <author>Art Astarita - RCAP Solutions</author>
  </authors>
  <commentList>
    <comment ref="B33" authorId="0">
      <text>
        <r>
          <rPr>
            <b/>
            <sz val="8"/>
            <color indexed="81"/>
            <rFont val="Tahoma"/>
            <family val="2"/>
          </rPr>
          <t>Art Astarita - RCAP Solutions:</t>
        </r>
        <r>
          <rPr>
            <sz val="8"/>
            <color indexed="81"/>
            <rFont val="Tahoma"/>
            <family val="2"/>
          </rPr>
          <t xml:space="preserve">
PUC doesn't require report if system revenue &lt;$50K</t>
        </r>
      </text>
    </comment>
    <comment ref="B34" authorId="0">
      <text>
        <r>
          <rPr>
            <b/>
            <sz val="8"/>
            <color indexed="81"/>
            <rFont val="Tahoma"/>
            <family val="2"/>
          </rPr>
          <t>Art Astarita - RCAP Solutions:</t>
        </r>
        <r>
          <rPr>
            <sz val="8"/>
            <color indexed="81"/>
            <rFont val="Tahoma"/>
            <family val="2"/>
          </rPr>
          <t xml:space="preserve">
PUC doesn't require report if system revenue &lt;$50K</t>
        </r>
      </text>
    </comment>
  </commentList>
</comments>
</file>

<file path=xl/sharedStrings.xml><?xml version="1.0" encoding="utf-8"?>
<sst xmlns="http://schemas.openxmlformats.org/spreadsheetml/2006/main" count="14338" uniqueCount="3242">
  <si>
    <t xml:space="preserve">MEPDES </t>
  </si>
  <si>
    <t>Facility</t>
  </si>
  <si>
    <t>F_Name</t>
  </si>
  <si>
    <t>L_Name</t>
  </si>
  <si>
    <t>Telephone</t>
  </si>
  <si>
    <t>Address 1</t>
  </si>
  <si>
    <t>City</t>
  </si>
  <si>
    <t>County</t>
  </si>
  <si>
    <t>Zip</t>
  </si>
  <si>
    <t>ME0101087</t>
  </si>
  <si>
    <t>ASHLAND WATER &amp; SEWER DISTRICT</t>
  </si>
  <si>
    <t>CYNTHIA</t>
  </si>
  <si>
    <t>CHAPMAN</t>
  </si>
  <si>
    <t>(207)435-2223</t>
  </si>
  <si>
    <t>PO BOX 340</t>
  </si>
  <si>
    <t>ASHLAND</t>
  </si>
  <si>
    <t>AROOSTOOK</t>
  </si>
  <si>
    <t>ME0100145</t>
  </si>
  <si>
    <t>CARIBOU UTILITIES DISTRICT</t>
  </si>
  <si>
    <t>PAUL</t>
  </si>
  <si>
    <t>ROSSIGNOL</t>
  </si>
  <si>
    <t>(207)496-0911</t>
  </si>
  <si>
    <t>PO BOX 879</t>
  </si>
  <si>
    <t>CARIBOU</t>
  </si>
  <si>
    <t>04736</t>
  </si>
  <si>
    <t>MEU503374</t>
  </si>
  <si>
    <t>EAGLE LAKE WATER &amp; SEWER DISRICT</t>
  </si>
  <si>
    <t>GERALD</t>
  </si>
  <si>
    <t>RAYMOND</t>
  </si>
  <si>
    <t>(207)444-5441</t>
  </si>
  <si>
    <t>PO BOX 137</t>
  </si>
  <si>
    <t>EAGLE LAKE</t>
  </si>
  <si>
    <t>MEU507955</t>
  </si>
  <si>
    <t>ME0100226</t>
  </si>
  <si>
    <t>FORT FAIRFIELD UTILITIES DIST</t>
  </si>
  <si>
    <t>RODNEY</t>
  </si>
  <si>
    <t>DESCHAINE</t>
  </si>
  <si>
    <t>(207)472-1391</t>
  </si>
  <si>
    <t>PO BOX 267</t>
  </si>
  <si>
    <t>FORT FAIRFIELD</t>
  </si>
  <si>
    <t>04742</t>
  </si>
  <si>
    <t>ME0101982</t>
  </si>
  <si>
    <t>FRENCHVILLE TOWN OF</t>
  </si>
  <si>
    <t>PHILIP</t>
  </si>
  <si>
    <t>LEVESQUE</t>
  </si>
  <si>
    <t>(207)543-7301</t>
  </si>
  <si>
    <t>PO BOX 97</t>
  </si>
  <si>
    <t>FRENCHVILLE</t>
  </si>
  <si>
    <t>04745</t>
  </si>
  <si>
    <t>MEU508159</t>
  </si>
  <si>
    <t>GOLDEN GATE PARK</t>
  </si>
  <si>
    <t>EUGENE</t>
  </si>
  <si>
    <t>KNIGHT</t>
  </si>
  <si>
    <t>(207)764-4824</t>
  </si>
  <si>
    <t>PO BOX 550</t>
  </si>
  <si>
    <t>PRESQUE ISLE</t>
  </si>
  <si>
    <t>04769</t>
  </si>
  <si>
    <t>ME0102318</t>
  </si>
  <si>
    <t>GRAND ISLE TOWN OF</t>
  </si>
  <si>
    <t>ANDRE</t>
  </si>
  <si>
    <t>GENDREAU</t>
  </si>
  <si>
    <t>(207)895-9506</t>
  </si>
  <si>
    <t>PO BOX 197</t>
  </si>
  <si>
    <t>GRAND ISLE</t>
  </si>
  <si>
    <t>04746</t>
  </si>
  <si>
    <t>ME0101290</t>
  </si>
  <si>
    <t>HOULTON WATER COMPANY</t>
  </si>
  <si>
    <t>TIM</t>
  </si>
  <si>
    <t>PETERS</t>
  </si>
  <si>
    <t>(207)532-2259</t>
  </si>
  <si>
    <t>PO BOX 726</t>
  </si>
  <si>
    <t>HOULTON</t>
  </si>
  <si>
    <t>04730</t>
  </si>
  <si>
    <t>ME0102849</t>
  </si>
  <si>
    <t>LIMESTONE WATER &amp; SEWER DISTRICT</t>
  </si>
  <si>
    <t>JIM</t>
  </si>
  <si>
    <t>LEIGHTON</t>
  </si>
  <si>
    <t>(207)325-4788</t>
  </si>
  <si>
    <t>6 WATER COMPANY ST</t>
  </si>
  <si>
    <t>LIMESTONE</t>
  </si>
  <si>
    <t>04750</t>
  </si>
  <si>
    <t>MEU507926</t>
  </si>
  <si>
    <t>LORING DEVELOPMENT AUTHORITY OF MAINE</t>
  </si>
  <si>
    <t>HAYES</t>
  </si>
  <si>
    <t>WARD</t>
  </si>
  <si>
    <t>(207)328-7814</t>
  </si>
  <si>
    <t>154 DEVELOPMENT DR STE F</t>
  </si>
  <si>
    <t>ME0101681</t>
  </si>
  <si>
    <t>MADAWASKA TOWN OF</t>
  </si>
  <si>
    <t>ROBERT</t>
  </si>
  <si>
    <t>DUNBAR</t>
  </si>
  <si>
    <t>(207)728-3608</t>
  </si>
  <si>
    <t>328 SAINT THOMAS ST STE 101</t>
  </si>
  <si>
    <t>MADAWASKA</t>
  </si>
  <si>
    <t>04756</t>
  </si>
  <si>
    <t>MEU508147</t>
  </si>
  <si>
    <t>MAPLETON SEWER DISTRICT</t>
  </si>
  <si>
    <t>GILLES</t>
  </si>
  <si>
    <t>ST PIERRE</t>
  </si>
  <si>
    <t>(207)764-1329</t>
  </si>
  <si>
    <t>PO BOX 53</t>
  </si>
  <si>
    <t>MAPLETON</t>
  </si>
  <si>
    <t>04757</t>
  </si>
  <si>
    <t>ME0101079</t>
  </si>
  <si>
    <t>MARS HILL UTILITY DISTRICT</t>
  </si>
  <si>
    <t>LENTO</t>
  </si>
  <si>
    <t>(207)425-2620</t>
  </si>
  <si>
    <t>PO BOX 342</t>
  </si>
  <si>
    <t>MARS HILL</t>
  </si>
  <si>
    <t>04758</t>
  </si>
  <si>
    <t>MEU508017</t>
  </si>
  <si>
    <t>PRESQUE ISLE CITY OF</t>
  </si>
  <si>
    <t>GEORGE</t>
  </si>
  <si>
    <t>HOWE</t>
  </si>
  <si>
    <t>(207)765-2503</t>
  </si>
  <si>
    <t>12 SECOND ST</t>
  </si>
  <si>
    <t>MEU508088</t>
  </si>
  <si>
    <t>DANA</t>
  </si>
  <si>
    <t>FOWLER</t>
  </si>
  <si>
    <t>ME0100561</t>
  </si>
  <si>
    <t>PRESQUE ISLE SEWER DISTRICT</t>
  </si>
  <si>
    <t>STEPHEN</t>
  </si>
  <si>
    <t>FREEMAN</t>
  </si>
  <si>
    <t>(207)762-5061</t>
  </si>
  <si>
    <t>PO BOX 470 12 SECOND ST</t>
  </si>
  <si>
    <t>MEU507814</t>
  </si>
  <si>
    <t>SINCLAIR SANITARY DISTRICT</t>
  </si>
  <si>
    <t>DAN</t>
  </si>
  <si>
    <t>MARTIN</t>
  </si>
  <si>
    <t>(207)543-5000</t>
  </si>
  <si>
    <t>PO BOX 71</t>
  </si>
  <si>
    <t>SINCLAIR</t>
  </si>
  <si>
    <t>04779</t>
  </si>
  <si>
    <t>ME0100609</t>
  </si>
  <si>
    <t>ST AGATHA SANITARY DISTRICT</t>
  </si>
  <si>
    <t>(207)543-6644</t>
  </si>
  <si>
    <t>PO BOX 110</t>
  </si>
  <si>
    <t>SAINT AGATHA</t>
  </si>
  <si>
    <t>04772</t>
  </si>
  <si>
    <t>ME0100684</t>
  </si>
  <si>
    <t>VAN BUREN TOWN OF</t>
  </si>
  <si>
    <t>RICKY</t>
  </si>
  <si>
    <t>SIROIS</t>
  </si>
  <si>
    <t>(207)868-3975</t>
  </si>
  <si>
    <t>51 MAIN ST STE 101</t>
  </si>
  <si>
    <t>VAN BUREN</t>
  </si>
  <si>
    <t>04785</t>
  </si>
  <si>
    <t>ME0101028</t>
  </si>
  <si>
    <t>WASHBURN WATER AND SEWER DISTRICT</t>
  </si>
  <si>
    <t>MATTHEW</t>
  </si>
  <si>
    <t>PALMER</t>
  </si>
  <si>
    <t>(207)455-4915</t>
  </si>
  <si>
    <t>1287 MAIN ST</t>
  </si>
  <si>
    <t>WASHBURN</t>
  </si>
  <si>
    <t>04786</t>
  </si>
  <si>
    <t>ME0101320</t>
  </si>
  <si>
    <t>BAILEYVILLE TOWN OF</t>
  </si>
  <si>
    <t>MOFFITT</t>
  </si>
  <si>
    <t>(207)427-3328</t>
  </si>
  <si>
    <t>PO BOX 517</t>
  </si>
  <si>
    <t>BAILEYVILLE</t>
  </si>
  <si>
    <t>WASHINGTON</t>
  </si>
  <si>
    <t>04694</t>
  </si>
  <si>
    <t>ME0100161</t>
  </si>
  <si>
    <t>DANFORTH TOWN OF</t>
  </si>
  <si>
    <t>DANIEL</t>
  </si>
  <si>
    <t>GRAY</t>
  </si>
  <si>
    <t>(207)794-8244</t>
  </si>
  <si>
    <t>PO BOX 117</t>
  </si>
  <si>
    <t>DANFORTH</t>
  </si>
  <si>
    <t>ME0100200</t>
  </si>
  <si>
    <t>EASTPORT CITY OF</t>
  </si>
  <si>
    <t>JEFF</t>
  </si>
  <si>
    <t>SULLIVAN</t>
  </si>
  <si>
    <t>(207)853-0901</t>
  </si>
  <si>
    <t>78 HIGH ST</t>
  </si>
  <si>
    <t>EASTPORT</t>
  </si>
  <si>
    <t>04631</t>
  </si>
  <si>
    <t>MEU507055</t>
  </si>
  <si>
    <t>INDIAN TOWNSHIP TRIBAL GOV'T</t>
  </si>
  <si>
    <t>JOHN</t>
  </si>
  <si>
    <t>STEVENS</t>
  </si>
  <si>
    <t>(000)796-2301</t>
  </si>
  <si>
    <t>PO BOX 301</t>
  </si>
  <si>
    <t>PRINCETON</t>
  </si>
  <si>
    <t>04668</t>
  </si>
  <si>
    <t>ME0100323</t>
  </si>
  <si>
    <t>MACHIAS TOWN OF</t>
  </si>
  <si>
    <t>CHRISTOPHER</t>
  </si>
  <si>
    <t>LOUGHLIN</t>
  </si>
  <si>
    <t>(207)832-7584</t>
  </si>
  <si>
    <t>PO BOX 418</t>
  </si>
  <si>
    <t>MACHIAS</t>
  </si>
  <si>
    <t>04654</t>
  </si>
  <si>
    <t>ME0100404</t>
  </si>
  <si>
    <t>MILBRIDGE TOWN OF</t>
  </si>
  <si>
    <t>LEWIS</t>
  </si>
  <si>
    <t>PINKHAM</t>
  </si>
  <si>
    <t>(207)546-2422</t>
  </si>
  <si>
    <t>PO BOX 66</t>
  </si>
  <si>
    <t>MILBRIDGE</t>
  </si>
  <si>
    <t>04658</t>
  </si>
  <si>
    <t>ME0100773</t>
  </si>
  <si>
    <t>PASSAMAQUODDY TRIBAL COUNCIL</t>
  </si>
  <si>
    <t>GENE</t>
  </si>
  <si>
    <t>FRANCIS</t>
  </si>
  <si>
    <t>(207)853-4356</t>
  </si>
  <si>
    <t>PLEASANT PT</t>
  </si>
  <si>
    <t>PERRY</t>
  </si>
  <si>
    <t>04667</t>
  </si>
  <si>
    <t>ME0102211</t>
  </si>
  <si>
    <t>PASSAMAQUODDY WATER DISTRICT</t>
  </si>
  <si>
    <t>NANCY</t>
  </si>
  <si>
    <t>SEELEY</t>
  </si>
  <si>
    <t>(207)873-5164</t>
  </si>
  <si>
    <t>56 WATER ST</t>
  </si>
  <si>
    <t>PWSID</t>
  </si>
  <si>
    <t>SYSTEM NAME</t>
  </si>
  <si>
    <t>SYSTEM TYPE</t>
  </si>
  <si>
    <t>POPULATION</t>
  </si>
  <si>
    <t>CITY SERVED</t>
  </si>
  <si>
    <t>COUNTY SERVED</t>
  </si>
  <si>
    <t>CONTACT NAME</t>
  </si>
  <si>
    <t>ADDRESS</t>
  </si>
  <si>
    <t>CITY</t>
  </si>
  <si>
    <t>STATE</t>
  </si>
  <si>
    <t>ZIP</t>
  </si>
  <si>
    <t>PHONE</t>
  </si>
  <si>
    <t>EMAIL</t>
  </si>
  <si>
    <t>ME0094739</t>
  </si>
  <si>
    <t>10TH MOUNTAIN SKI CENTER</t>
  </si>
  <si>
    <t>TRANSIENT</t>
  </si>
  <si>
    <t>FORT KENT</t>
  </si>
  <si>
    <t>CHASSE, DAN</t>
  </si>
  <si>
    <t>6 BLOCK HOUSE ROAD</t>
  </si>
  <si>
    <t>ME</t>
  </si>
  <si>
    <t>04743</t>
  </si>
  <si>
    <t>207-834-6465</t>
  </si>
  <si>
    <t>danandchris@roadrunner.com</t>
  </si>
  <si>
    <t>ME0092373</t>
  </si>
  <si>
    <t>A PLACE FOR ALL SEASONS</t>
  </si>
  <si>
    <t>COMMUNITY</t>
  </si>
  <si>
    <t>CARON, NORMAN</t>
  </si>
  <si>
    <t>49 MAIN ST APT 5B</t>
  </si>
  <si>
    <t>207-493-4614</t>
  </si>
  <si>
    <t>ME0019196</t>
  </si>
  <si>
    <t>A PLACE TO EAT</t>
  </si>
  <si>
    <t>OAKFIELD</t>
  </si>
  <si>
    <t>BURPEE, BRENDA</t>
  </si>
  <si>
    <t>PO BOX 174</t>
  </si>
  <si>
    <t>04763</t>
  </si>
  <si>
    <t>207-757-7474</t>
  </si>
  <si>
    <t>ME0094712</t>
  </si>
  <si>
    <t>ACAP CHILD &amp; FAMILY CENTER</t>
  </si>
  <si>
    <t>NON-TRANSIENT NON-COMMUNITY</t>
  </si>
  <si>
    <t>CRANDALL, WILLIAM</t>
  </si>
  <si>
    <t>PO BOX 1116</t>
  </si>
  <si>
    <t>207-764-3721</t>
  </si>
  <si>
    <t>ME0022289</t>
  </si>
  <si>
    <t>ARNDTS AROOSTOOK RIVER LODGE</t>
  </si>
  <si>
    <t>ARNDT, KENNETH</t>
  </si>
  <si>
    <t>95 PARKHURST SIDING RD. RT 205</t>
  </si>
  <si>
    <t>207-764-1305</t>
  </si>
  <si>
    <t>clare@arndtscamp.com</t>
  </si>
  <si>
    <t>ME0025027</t>
  </si>
  <si>
    <t>AROOSTOOK HOSPITALITY INN</t>
  </si>
  <si>
    <t>DOBSON, STEVE</t>
  </si>
  <si>
    <t>PO BOX 455</t>
  </si>
  <si>
    <t>207-769-9109</t>
  </si>
  <si>
    <t>srd@srdenterprises.com</t>
  </si>
  <si>
    <t>ME0026785</t>
  </si>
  <si>
    <t>AROOSTOOK SHRINE CLUB</t>
  </si>
  <si>
    <t>MCCARTNEY, BLAIR</t>
  </si>
  <si>
    <t>PO BOX 1601</t>
  </si>
  <si>
    <t>207-764-8559</t>
  </si>
  <si>
    <t>blairmccartney@msn.com</t>
  </si>
  <si>
    <t>ME0090060</t>
  </si>
  <si>
    <t>MARTIN, FRANK</t>
  </si>
  <si>
    <t>04732</t>
  </si>
  <si>
    <t>207-435-2223</t>
  </si>
  <si>
    <t>ashlandwater@atimaine.net</t>
  </si>
  <si>
    <t>ME0017819</t>
  </si>
  <si>
    <t>BEAR DEN</t>
  </si>
  <si>
    <t>BENEDICTA</t>
  </si>
  <si>
    <t>VERRIER, ROLAND N</t>
  </si>
  <si>
    <t>1050 BENEDICTA ROAD</t>
  </si>
  <si>
    <t>04733</t>
  </si>
  <si>
    <t>207-365-4171</t>
  </si>
  <si>
    <t>ME0094885</t>
  </si>
  <si>
    <t>BENTOS GROCERY DINER &amp; SPORTS BAR</t>
  </si>
  <si>
    <t>MACWAHOC PLT</t>
  </si>
  <si>
    <t>BENTO, KAREN</t>
  </si>
  <si>
    <t>428 US HIGHWAY #2</t>
  </si>
  <si>
    <t>MACWAHOC PLANTATION</t>
  </si>
  <si>
    <t>04451</t>
  </si>
  <si>
    <t>207-765-2417</t>
  </si>
  <si>
    <t>ME0004727</t>
  </si>
  <si>
    <t>BIG ROCK SKI AREA/RESTAURANT</t>
  </si>
  <si>
    <t>GUERRETTE, RYAN</t>
  </si>
  <si>
    <t>PO BOX 1001</t>
  </si>
  <si>
    <t>207-425-6711</t>
  </si>
  <si>
    <t>ryanguerrette@bigrockmaine.com</t>
  </si>
  <si>
    <t>ME0006654</t>
  </si>
  <si>
    <t>BIRCH HAVEN CAMPGROUND</t>
  </si>
  <si>
    <t>ROY, RON</t>
  </si>
  <si>
    <t>1165 SLY BROOK RD. BOX 960</t>
  </si>
  <si>
    <t>04739</t>
  </si>
  <si>
    <t>207-444-5102</t>
  </si>
  <si>
    <t>ME0007458</t>
  </si>
  <si>
    <t>BIRCH POINT LODGE, INC</t>
  </si>
  <si>
    <t>DYER BROOK</t>
  </si>
  <si>
    <t>EDWARDS, STEVE</t>
  </si>
  <si>
    <t>33 BIRCH POINT LN</t>
  </si>
  <si>
    <t>ISLAND FALLS</t>
  </si>
  <si>
    <t>04747</t>
  </si>
  <si>
    <t>207-463-2515</t>
  </si>
  <si>
    <t>edpoint@faipoint.net</t>
  </si>
  <si>
    <t>ME0017811</t>
  </si>
  <si>
    <t>BLUE MOOSE RESTAURANT</t>
  </si>
  <si>
    <t>MONTICELLO</t>
  </si>
  <si>
    <t>LALONE, BOB</t>
  </si>
  <si>
    <t>PO BOX 228</t>
  </si>
  <si>
    <t>04760</t>
  </si>
  <si>
    <t>207-538-0991</t>
  </si>
  <si>
    <t>bluemoosebob@hotmail.com</t>
  </si>
  <si>
    <t>ME0003093</t>
  </si>
  <si>
    <t>BROOKSIDE INN</t>
  </si>
  <si>
    <t>SMYRNA</t>
  </si>
  <si>
    <t>2277 RTE 2</t>
  </si>
  <si>
    <t>04780</t>
  </si>
  <si>
    <t>ME0016735</t>
  </si>
  <si>
    <t>CAMPERS PARADISE</t>
  </si>
  <si>
    <t>WESTFIELD</t>
  </si>
  <si>
    <t>WEBBER, GARY</t>
  </si>
  <si>
    <t>433 SIMPSON ROAD</t>
  </si>
  <si>
    <t>04787</t>
  </si>
  <si>
    <t>207-429-8178</t>
  </si>
  <si>
    <t>buckman@mfx.net</t>
  </si>
  <si>
    <t>ME0002400</t>
  </si>
  <si>
    <t>CARIBOU COUNTRY CLUB</t>
  </si>
  <si>
    <t>JOSE, JEFF</t>
  </si>
  <si>
    <t>PO BOX 633</t>
  </si>
  <si>
    <t>207-493-3933</t>
  </si>
  <si>
    <t>jjose@maine.rr.com</t>
  </si>
  <si>
    <t>ME0017824</t>
  </si>
  <si>
    <t>CARIBOU INN &amp; CONVENTION CENTER</t>
  </si>
  <si>
    <t>SIMMONS, K B</t>
  </si>
  <si>
    <t>19 MAIN STREET</t>
  </si>
  <si>
    <t>207-498-3733</t>
  </si>
  <si>
    <t>ME0002439</t>
  </si>
  <si>
    <t>CARIBOU STREAM MOBILE HOME PK</t>
  </si>
  <si>
    <t>FERNALD, STEVE</t>
  </si>
  <si>
    <t>PO BOX 632</t>
  </si>
  <si>
    <t>ELLSWORTH</t>
  </si>
  <si>
    <t>04605</t>
  </si>
  <si>
    <t>207-664-7500</t>
  </si>
  <si>
    <t>ME0102451</t>
  </si>
  <si>
    <t>CARIBOU TRAILER PARK #2</t>
  </si>
  <si>
    <t>PLOURDE, RUSSELL D</t>
  </si>
  <si>
    <t>15 PARK STREET</t>
  </si>
  <si>
    <t>207-551-5460</t>
  </si>
  <si>
    <t>mrsbr@myfairpoint.net</t>
  </si>
  <si>
    <t>ME0090320</t>
  </si>
  <si>
    <t>HITCHCOCK, ALAN E</t>
  </si>
  <si>
    <t>207-496-0911</t>
  </si>
  <si>
    <t>CUD@GWI.NET</t>
  </si>
  <si>
    <t>ME0008583</t>
  </si>
  <si>
    <t>CASWELL ELEM/AKA DAWN BARNES</t>
  </si>
  <si>
    <t>CASWELL PLT</t>
  </si>
  <si>
    <t>CASWELL SCHOOL DEPARTMENT</t>
  </si>
  <si>
    <t>1025 VAN BUREN ROAD</t>
  </si>
  <si>
    <t>CASWELL</t>
  </si>
  <si>
    <t>207-325-4611</t>
  </si>
  <si>
    <t>wdobbins@caswellme.org</t>
  </si>
  <si>
    <t>ME0092446</t>
  </si>
  <si>
    <t>CIRCLE OF LEARNING-FORT FAIRFIELD</t>
  </si>
  <si>
    <t>ELLIS, JAYE</t>
  </si>
  <si>
    <t>1100A CENTRAL DRIVE</t>
  </si>
  <si>
    <t>207-764-5522</t>
  </si>
  <si>
    <t>jaellis@circleoflearning.net</t>
  </si>
  <si>
    <t>ME0092447</t>
  </si>
  <si>
    <t>CIRCLE OF LEARNING-ROUTE 1</t>
  </si>
  <si>
    <t>ME0000179</t>
  </si>
  <si>
    <t>CONNOR CONSOLIDATED SCHOOL</t>
  </si>
  <si>
    <t>CONNOR TWP</t>
  </si>
  <si>
    <t>DEPT OF EDUCATION</t>
  </si>
  <si>
    <t>23 STATE HOUSE STATION</t>
  </si>
  <si>
    <t>AUGUSTA</t>
  </si>
  <si>
    <t>04333</t>
  </si>
  <si>
    <t>207-624-6892</t>
  </si>
  <si>
    <t>ME0095020</t>
  </si>
  <si>
    <t>CREST VIEW MANOR</t>
  </si>
  <si>
    <t>DUGAL, LOUIS</t>
  </si>
  <si>
    <t>361 COURT STREET</t>
  </si>
  <si>
    <t>207-728-3570</t>
  </si>
  <si>
    <t>ME0094988</t>
  </si>
  <si>
    <t>DAVID A SMITH DENTAL OFFICE</t>
  </si>
  <si>
    <t>SMITH, DAVID A</t>
  </si>
  <si>
    <t>157 MAIN STREET</t>
  </si>
  <si>
    <t>207-492-9521</t>
  </si>
  <si>
    <t>philly@maine.rr.com</t>
  </si>
  <si>
    <t>ME0005854</t>
  </si>
  <si>
    <t>DEANS MOTOR LODGE</t>
  </si>
  <si>
    <t>PORTAGE LAKE</t>
  </si>
  <si>
    <t>BURTON, ANGELINE</t>
  </si>
  <si>
    <t>PO BOX 31</t>
  </si>
  <si>
    <t>PORTAGE</t>
  </si>
  <si>
    <t>04768</t>
  </si>
  <si>
    <t>207-435-3701</t>
  </si>
  <si>
    <t>burton2660@roadrunner.com</t>
  </si>
  <si>
    <t>ME0094910</t>
  </si>
  <si>
    <t>DELUCCA PROPERTIES AT 382 NORTH ST</t>
  </si>
  <si>
    <t>DELUCCA, ANTHONY C</t>
  </si>
  <si>
    <t>424 NORTH STREET</t>
  </si>
  <si>
    <t>207-532-3005</t>
  </si>
  <si>
    <t>watercare@pwless.net</t>
  </si>
  <si>
    <t>ME0002456</t>
  </si>
  <si>
    <t>DEL-WOOD TRAILER PARK</t>
  </si>
  <si>
    <t>WOOD, GORDON</t>
  </si>
  <si>
    <t>367 HOULTON ROAD</t>
  </si>
  <si>
    <t>207-227-2233</t>
  </si>
  <si>
    <t>gwood@maine.rr.com</t>
  </si>
  <si>
    <t>ME0007023</t>
  </si>
  <si>
    <t>DOLLYS RESTAURANT</t>
  </si>
  <si>
    <t>PELLETIER, KEITH</t>
  </si>
  <si>
    <t>17 US ROUTE 1</t>
  </si>
  <si>
    <t>207-728-7050</t>
  </si>
  <si>
    <t>ME0006657</t>
  </si>
  <si>
    <t>EAGLE LAKE SPORTING CAMP</t>
  </si>
  <si>
    <t>THERIAULT, ALAN</t>
  </si>
  <si>
    <t>PO BOX 249</t>
  </si>
  <si>
    <t>04739-0249</t>
  </si>
  <si>
    <t>207-775-2741</t>
  </si>
  <si>
    <t>atheriault@cufinancial.com</t>
  </si>
  <si>
    <t>ME0090480</t>
  </si>
  <si>
    <t>EAGLE LAKE WATER &amp; SEWER DIST</t>
  </si>
  <si>
    <t>RAYMOND, GERALD A</t>
  </si>
  <si>
    <t>207-444-5441</t>
  </si>
  <si>
    <t>elwsd@ainop.com</t>
  </si>
  <si>
    <t>ME0000212</t>
  </si>
  <si>
    <t>EASTON ELEMENTARY SCHOOL</t>
  </si>
  <si>
    <t>EASTON</t>
  </si>
  <si>
    <t>IRELAND, GEORGETTE</t>
  </si>
  <si>
    <t>PO BOX 126</t>
  </si>
  <si>
    <t>04740</t>
  </si>
  <si>
    <t>207-488-7700</t>
  </si>
  <si>
    <t>georgette.ireland@eastonschools.org</t>
  </si>
  <si>
    <t>ME0093811</t>
  </si>
  <si>
    <t>EASTON HIGH SCHOOL</t>
  </si>
  <si>
    <t>ME0094779</t>
  </si>
  <si>
    <t>ELDERLY SOCIAL ACTION COUNCIL</t>
  </si>
  <si>
    <t>ROY, IRVIN</t>
  </si>
  <si>
    <t>PO BOX 403</t>
  </si>
  <si>
    <t>207-834-3844</t>
  </si>
  <si>
    <t>fkscc@fairpoint.net</t>
  </si>
  <si>
    <t>ME0094539</t>
  </si>
  <si>
    <t>EMERALD VALLEY RANCHES #1, LLC</t>
  </si>
  <si>
    <t>AYER, ANDREW</t>
  </si>
  <si>
    <t>PO BOX 717</t>
  </si>
  <si>
    <t>207-498-8484</t>
  </si>
  <si>
    <t>andyayer@mfx.net</t>
  </si>
  <si>
    <t>ME0294539</t>
  </si>
  <si>
    <t>EMERALD VALLEY RANCHES #2, LLC</t>
  </si>
  <si>
    <t>ME0024567</t>
  </si>
  <si>
    <t>EUREKA HALL REST</t>
  </si>
  <si>
    <t>STOCKHOLM</t>
  </si>
  <si>
    <t>PAPPA, GEORGE</t>
  </si>
  <si>
    <t>5 SCHOOL STREET</t>
  </si>
  <si>
    <t>04783</t>
  </si>
  <si>
    <t>207-896-3196</t>
  </si>
  <si>
    <t>gpappa52@aol.com</t>
  </si>
  <si>
    <t>ME0095140</t>
  </si>
  <si>
    <t>FOREST HILL MANOR</t>
  </si>
  <si>
    <t>LEVASSEUR, JAMES</t>
  </si>
  <si>
    <t>25 BOLDUC AVE</t>
  </si>
  <si>
    <t>207-834-3915</t>
  </si>
  <si>
    <t>jim.levasseur@nmmc.org</t>
  </si>
  <si>
    <t>ME0090550</t>
  </si>
  <si>
    <t>FORT FAIRFIELD UTIL DIST</t>
  </si>
  <si>
    <t>DESCHAINE, RODNEY</t>
  </si>
  <si>
    <t>207-472-1391</t>
  </si>
  <si>
    <t>rldeschaine@maine.rr.com</t>
  </si>
  <si>
    <t>ME0010887</t>
  </si>
  <si>
    <t>FORT KENT GOLF CLUB</t>
  </si>
  <si>
    <t>PO BOX 436</t>
  </si>
  <si>
    <t>207-834-3149</t>
  </si>
  <si>
    <t>ftktgolfclub@fairpoint.net</t>
  </si>
  <si>
    <t>ME0090560</t>
  </si>
  <si>
    <t>FORT KENT W &amp; W DEPARTMENT</t>
  </si>
  <si>
    <t>SOUCY, MARK</t>
  </si>
  <si>
    <t>416 WEST MAIN STREET</t>
  </si>
  <si>
    <t>207-834-3463</t>
  </si>
  <si>
    <t>mark.soucy@fortkent.org</t>
  </si>
  <si>
    <t>ME0004655</t>
  </si>
  <si>
    <t>GATEWAY MOTEL</t>
  </si>
  <si>
    <t>MANAGER</t>
  </si>
  <si>
    <t>PO BOX 385</t>
  </si>
  <si>
    <t>ME0006154</t>
  </si>
  <si>
    <t>GOLDEN GATE TRAILER PARK</t>
  </si>
  <si>
    <t>KNIGHT, EUGENE</t>
  </si>
  <si>
    <t>443 CARIBOU RD</t>
  </si>
  <si>
    <t>207-764-4824</t>
  </si>
  <si>
    <t>ecnite@prodigy.net</t>
  </si>
  <si>
    <t>ME0008051</t>
  </si>
  <si>
    <t>GRAMMYS COUNTRY INN</t>
  </si>
  <si>
    <t>LINNEUS</t>
  </si>
  <si>
    <t>GRAHAM, STEVE</t>
  </si>
  <si>
    <t>1687 BANGOR ROAD</t>
  </si>
  <si>
    <t>207-532-7808</t>
  </si>
  <si>
    <t>ME0092285</t>
  </si>
  <si>
    <t>GRAND ISLE WATER SYSTEM</t>
  </si>
  <si>
    <t>TOWN OF GRAND ISLE / CHRISTINE SOUCY</t>
  </si>
  <si>
    <t>366 WATER DEPT PO BOX 197</t>
  </si>
  <si>
    <t>207-895-3528</t>
  </si>
  <si>
    <t>grandisletown@hotmail.com</t>
  </si>
  <si>
    <t>ME0012458</t>
  </si>
  <si>
    <t>HAYWARD FRAZIER POST # 2599</t>
  </si>
  <si>
    <t>VETERANS OF FOREIGN WARS</t>
  </si>
  <si>
    <t>SIX STATE ROAD</t>
  </si>
  <si>
    <t>207-764-5441</t>
  </si>
  <si>
    <t>phaywardfrazier@maine.rr.com</t>
  </si>
  <si>
    <t>ME0091890</t>
  </si>
  <si>
    <t>HERITAGE VIEW APTS</t>
  </si>
  <si>
    <t>NEW SWEDEN</t>
  </si>
  <si>
    <t>MATTSON, TODD</t>
  </si>
  <si>
    <t>PO BOX 10</t>
  </si>
  <si>
    <t>GARDINER</t>
  </si>
  <si>
    <t>04345</t>
  </si>
  <si>
    <t>207-582-1888</t>
  </si>
  <si>
    <t>ME0094503</t>
  </si>
  <si>
    <t>HODGDON HOMESTEAD</t>
  </si>
  <si>
    <t>HODGDON</t>
  </si>
  <si>
    <t>GRIFFIN, JIM</t>
  </si>
  <si>
    <t>179 HODGDON MILLS ROAD</t>
  </si>
  <si>
    <t>207-532-6498</t>
  </si>
  <si>
    <t>ME0014272</t>
  </si>
  <si>
    <t>HOULTON COMMUNITY GOLF CLUB</t>
  </si>
  <si>
    <t>NEW LIMERICK</t>
  </si>
  <si>
    <t>KELLEY, JANICE</t>
  </si>
  <si>
    <t>PO BOX 948</t>
  </si>
  <si>
    <t>207-532-2662</t>
  </si>
  <si>
    <t>ME0092313</t>
  </si>
  <si>
    <t>HOULTON MOBILE HOME PARK</t>
  </si>
  <si>
    <t>VILLAGE GREEN HOLDINGS LLC- DR MARSHALL</t>
  </si>
  <si>
    <t>207-941-9956</t>
  </si>
  <si>
    <t>ME0090700</t>
  </si>
  <si>
    <t>CLARK, JOHN</t>
  </si>
  <si>
    <t>PO BOX 726, 21 BANGOR ST.</t>
  </si>
  <si>
    <t>207-532-2259</t>
  </si>
  <si>
    <t>jlc@hwco.org</t>
  </si>
  <si>
    <t>ME0094237</t>
  </si>
  <si>
    <t>HUBER ENGINEERED WOODS LLC</t>
  </si>
  <si>
    <t>LEVASSEUR, DANIEL</t>
  </si>
  <si>
    <t>333 STATION RD</t>
  </si>
  <si>
    <t>207-488-2051</t>
  </si>
  <si>
    <t>daniel.levasseur@huber.com</t>
  </si>
  <si>
    <t>ME0090720</t>
  </si>
  <si>
    <t>ISLAND FALLS WATER DEPT</t>
  </si>
  <si>
    <t>PEARL, JESSICA</t>
  </si>
  <si>
    <t>PO BOX 100</t>
  </si>
  <si>
    <t>207-463-2124</t>
  </si>
  <si>
    <t>ifwater@fairpoint.net</t>
  </si>
  <si>
    <t>ME0094232</t>
  </si>
  <si>
    <t>KATAHDIN FOREST PRODUCTS</t>
  </si>
  <si>
    <t>BURPEE, PATTY</t>
  </si>
  <si>
    <t>PO BOX 145</t>
  </si>
  <si>
    <t>207-757-8076</t>
  </si>
  <si>
    <t>ME0003007</t>
  </si>
  <si>
    <t>KATAHDIN VALLEY MOTEL</t>
  </si>
  <si>
    <t>SHERMAN</t>
  </si>
  <si>
    <t>BRACKETT, RICHARD</t>
  </si>
  <si>
    <t>PO BOX 148</t>
  </si>
  <si>
    <t>SHERMAN MILLS</t>
  </si>
  <si>
    <t>04776</t>
  </si>
  <si>
    <t>207-365-4554</t>
  </si>
  <si>
    <t>kvm@fairpoint.net</t>
  </si>
  <si>
    <t>ME0011287</t>
  </si>
  <si>
    <t>KELLEYS</t>
  </si>
  <si>
    <t>C.N. BROWN</t>
  </si>
  <si>
    <t>PO  BOX 200</t>
  </si>
  <si>
    <t>SOUTH PARIS</t>
  </si>
  <si>
    <t>04281</t>
  </si>
  <si>
    <t>207-743-9212</t>
  </si>
  <si>
    <t>ME0094606</t>
  </si>
  <si>
    <t>LAKEVIEW CAMPING RESORT</t>
  </si>
  <si>
    <t>ST AGATHA</t>
  </si>
  <si>
    <t>DAIGLE, JENNIFER</t>
  </si>
  <si>
    <t>9 LAKEVIEW DR</t>
  </si>
  <si>
    <t>207-543-6331</t>
  </si>
  <si>
    <t>lakeview@ainop.com</t>
  </si>
  <si>
    <t>ME0215430</t>
  </si>
  <si>
    <t>LAKEVIEW RESTAURANT</t>
  </si>
  <si>
    <t>9 LAKEVIEW DRIVE</t>
  </si>
  <si>
    <t>ME0002423</t>
  </si>
  <si>
    <t>LAZY ACRES MOBILE HOME PARK</t>
  </si>
  <si>
    <t>ME0090840</t>
  </si>
  <si>
    <t>LEIGHTON, JIM NEAL</t>
  </si>
  <si>
    <t>PO BOX 544</t>
  </si>
  <si>
    <t>207-325-4788</t>
  </si>
  <si>
    <t>lwsd@maine.rr.com</t>
  </si>
  <si>
    <t>ME0008467</t>
  </si>
  <si>
    <t>LISTER KNOWLTON POST 9389 VFW</t>
  </si>
  <si>
    <t>PO BOX 478</t>
  </si>
  <si>
    <t>ME0108340</t>
  </si>
  <si>
    <t>LIVING WATERS #1</t>
  </si>
  <si>
    <t>WESTON</t>
  </si>
  <si>
    <t>LIVING WATERS INC</t>
  </si>
  <si>
    <t>DARK COVE ROAD - WESTON</t>
  </si>
  <si>
    <t>04424</t>
  </si>
  <si>
    <t>207-448-2310</t>
  </si>
  <si>
    <t>ME0008340</t>
  </si>
  <si>
    <t>LIVING WATERS #2</t>
  </si>
  <si>
    <t>ME0003475</t>
  </si>
  <si>
    <t>LONG LAKE CAMPING AREA</t>
  </si>
  <si>
    <t>T17 R04 WELS</t>
  </si>
  <si>
    <t>BOUCHARD, ANDREW J &amp; JULIETTE</t>
  </si>
  <si>
    <t>PO BOX 69</t>
  </si>
  <si>
    <t>207-543-7563</t>
  </si>
  <si>
    <t>andrewb.2@netzero.com</t>
  </si>
  <si>
    <t>ME0004640</t>
  </si>
  <si>
    <t>LONG LAKE COUNTRY CLUB</t>
  </si>
  <si>
    <t>HEBERT, ALLAN</t>
  </si>
  <si>
    <t>744 LAKE SHORE ROAD</t>
  </si>
  <si>
    <t>ST DAVID</t>
  </si>
  <si>
    <t>04773</t>
  </si>
  <si>
    <t>207-895-6957</t>
  </si>
  <si>
    <t>ME0094470</t>
  </si>
  <si>
    <t>LONG LAKE MOTOR INN</t>
  </si>
  <si>
    <t>PO BOX 86</t>
  </si>
  <si>
    <t>207-543-5006</t>
  </si>
  <si>
    <t>llmi@sjv.net</t>
  </si>
  <si>
    <t>ME0003483</t>
  </si>
  <si>
    <t>LONG LAKE SPORTING CLUB</t>
  </si>
  <si>
    <t>MARTIN, NEAL</t>
  </si>
  <si>
    <t>PO BOX 57</t>
  </si>
  <si>
    <t>207-543-7584</t>
  </si>
  <si>
    <t>neal_martin06@yahoo.com</t>
  </si>
  <si>
    <t>ME0008331</t>
  </si>
  <si>
    <t>LOONS ECHO CAMPGROUND</t>
  </si>
  <si>
    <t>BLIER, GILMAN</t>
  </si>
  <si>
    <t>PO BOX 274</t>
  </si>
  <si>
    <t>FORT KENT MILLS</t>
  </si>
  <si>
    <t>04744</t>
  </si>
  <si>
    <t>207-834-3171</t>
  </si>
  <si>
    <t>timberline@geiweb.net</t>
  </si>
  <si>
    <t>ME0090915</t>
  </si>
  <si>
    <t>LORING DEVELOPMENT AUTHORITY</t>
  </si>
  <si>
    <t>SAUNDERS, MARY E</t>
  </si>
  <si>
    <t>154 DEVELOPMENT DRIVE SUITE F</t>
  </si>
  <si>
    <t>04750-6122</t>
  </si>
  <si>
    <t>207-328-7005</t>
  </si>
  <si>
    <t>msaunders@loring.org</t>
  </si>
  <si>
    <t>ME0094006</t>
  </si>
  <si>
    <t>LOUISIANA-PACIFIC CORP-NEW LIM</t>
  </si>
  <si>
    <t>STILE, MARK</t>
  </si>
  <si>
    <t>PO BOX 396</t>
  </si>
  <si>
    <t>207-532-7361</t>
  </si>
  <si>
    <t>mark.stile@lpcorp.com</t>
  </si>
  <si>
    <t>ME0090920</t>
  </si>
  <si>
    <t>MADAWASKA WATER DISTRICT</t>
  </si>
  <si>
    <t>CHASSE, DON</t>
  </si>
  <si>
    <t>PO BOX 158</t>
  </si>
  <si>
    <t>207-728-3859</t>
  </si>
  <si>
    <t>madwater@myfairpoint.net</t>
  </si>
  <si>
    <t>ME0094268</t>
  </si>
  <si>
    <t>MAINE PUBLIC SERVICE COMPANY</t>
  </si>
  <si>
    <t>MUNSON, BRIAN</t>
  </si>
  <si>
    <t>PO BOX 1209</t>
  </si>
  <si>
    <t>207-760-2534</t>
  </si>
  <si>
    <t>bmunson@mainepublicservice.com</t>
  </si>
  <si>
    <t>ME0094749</t>
  </si>
  <si>
    <t>MAINE WINTER SPORTS CTR-NORDIC HERITAGE</t>
  </si>
  <si>
    <t>BERRY, NATE</t>
  </si>
  <si>
    <t>PO BOX 4015</t>
  </si>
  <si>
    <t>207-764-5639</t>
  </si>
  <si>
    <t>nberry@barrisi.benefits.com</t>
  </si>
  <si>
    <t>ME0094753</t>
  </si>
  <si>
    <t>MAINE WOODS COMPANY LLC</t>
  </si>
  <si>
    <t>LENNON, PETER</t>
  </si>
  <si>
    <t>PO BOX 111</t>
  </si>
  <si>
    <t>207-435-4393</t>
  </si>
  <si>
    <t>plennon@mainewoods.net</t>
  </si>
  <si>
    <t>ME0004714</t>
  </si>
  <si>
    <t>MAPLETON DINER</t>
  </si>
  <si>
    <t>MCBAY, DARCY</t>
  </si>
  <si>
    <t>PO BOX 427</t>
  </si>
  <si>
    <t>207-764-0056</t>
  </si>
  <si>
    <t>dmcbay95@gmail.com</t>
  </si>
  <si>
    <t>ME0092160</t>
  </si>
  <si>
    <t>MAPLETREE ESTATES</t>
  </si>
  <si>
    <t>CALDWELL, DEE DEE</t>
  </si>
  <si>
    <t>51 RAINBOW ROAD</t>
  </si>
  <si>
    <t>207-764-5191</t>
  </si>
  <si>
    <t>ME0090940</t>
  </si>
  <si>
    <t>MARS HILL AND BLAINE WATER COMPANY</t>
  </si>
  <si>
    <t>LENTO, ROBERT J</t>
  </si>
  <si>
    <t>207-425-2620</t>
  </si>
  <si>
    <t>ME0094250</t>
  </si>
  <si>
    <t>MCCAIN FOODS USA INC</t>
  </si>
  <si>
    <t>SAUCIER, JEFF</t>
  </si>
  <si>
    <t>319 RICHARDSON RD</t>
  </si>
  <si>
    <t>207-488-1399</t>
  </si>
  <si>
    <t>jeffrey.saucier@mccain.com</t>
  </si>
  <si>
    <t>ME0194250</t>
  </si>
  <si>
    <t>MCCAIN FOODS, INC - COLD STORAGE</t>
  </si>
  <si>
    <t>ME0092175</t>
  </si>
  <si>
    <t>MCCULLEY COMMONS APARTMENTS</t>
  </si>
  <si>
    <t>STANFORD MANAGEMENT</t>
  </si>
  <si>
    <t>PO BOX 3879</t>
  </si>
  <si>
    <t>PORTLAND</t>
  </si>
  <si>
    <t>04101</t>
  </si>
  <si>
    <t>207-772-3399</t>
  </si>
  <si>
    <t>ME0193900</t>
  </si>
  <si>
    <t>MDOC ST PK - AROOSTOOK</t>
  </si>
  <si>
    <t>BUREAU OF PARKS &amp; LANDS</t>
  </si>
  <si>
    <t>155 STATE HOUSE STATION</t>
  </si>
  <si>
    <t>04033</t>
  </si>
  <si>
    <t>207-941-4014</t>
  </si>
  <si>
    <t>ME0002411</t>
  </si>
  <si>
    <t>MELODY ROLLER RINK</t>
  </si>
  <si>
    <t>DOODY, KENNETH &amp; ELSIE</t>
  </si>
  <si>
    <t>1007 ALBAIR RD</t>
  </si>
  <si>
    <t>207-493-3259</t>
  </si>
  <si>
    <t>ME0091031</t>
  </si>
  <si>
    <t>MONTFORT HEIGHTS</t>
  </si>
  <si>
    <t>CHAMBERLAND, JAMES</t>
  </si>
  <si>
    <t>PO BOX 206</t>
  </si>
  <si>
    <t>207-543-7583</t>
  </si>
  <si>
    <t>ME0091032</t>
  </si>
  <si>
    <t>MONTICELLO HOUSING CORPORATION</t>
  </si>
  <si>
    <t>C S MANAGEMENT INC</t>
  </si>
  <si>
    <t>137 BENNETT DRIVE SUITE 2</t>
  </si>
  <si>
    <t>207-498-8332</t>
  </si>
  <si>
    <t>ME0006954</t>
  </si>
  <si>
    <t>MOUNTAIN VIEW TRAILER PARK</t>
  </si>
  <si>
    <t>PELLETIER, ROBERT D</t>
  </si>
  <si>
    <t>PO BOX 363</t>
  </si>
  <si>
    <t>207-834-2052</t>
  </si>
  <si>
    <t>ME0000399</t>
  </si>
  <si>
    <t>MSAD 01 MAPLETON ELEM SCHOOL</t>
  </si>
  <si>
    <t>MSAD 01 SUPT OF SCHOOLS</t>
  </si>
  <si>
    <t>PO BOX 1118</t>
  </si>
  <si>
    <t>ME0000652</t>
  </si>
  <si>
    <t>MSAD 27 WALLAGRASS ELEMENTARY SCHOOL</t>
  </si>
  <si>
    <t>WALLAGRASS PLT</t>
  </si>
  <si>
    <t>O'NEILL, PATRICK</t>
  </si>
  <si>
    <t>84 PLEASEANT STREET, SUITE 1</t>
  </si>
  <si>
    <t>207-834-3189</t>
  </si>
  <si>
    <t>ME0000421</t>
  </si>
  <si>
    <t>MSAD 29 WELLINGTON SCHOOL</t>
  </si>
  <si>
    <t>MSAD 29 SUPT OF SCHOOLS</t>
  </si>
  <si>
    <t>PO BOX 190</t>
  </si>
  <si>
    <t>mihammer@msln.net</t>
  </si>
  <si>
    <t>ME0000256</t>
  </si>
  <si>
    <t>MSAD 33 DR LEVESQUE SCHOOL</t>
  </si>
  <si>
    <t>MSAD 33 SUPT OF SCHOOLS</t>
  </si>
  <si>
    <t>443 US ROUTE 1 BOX 489</t>
  </si>
  <si>
    <t>ME0000555</t>
  </si>
  <si>
    <t>MSAD 33 WISDOM JR-SR HIGH SCH</t>
  </si>
  <si>
    <t>MSAD 33 SUPERINTENDENT</t>
  </si>
  <si>
    <t>431 US ROUTE 1 PO BOX 9</t>
  </si>
  <si>
    <t>ME0000301</t>
  </si>
  <si>
    <t>MSAD 70 HODGDON ELEM SCHOOL</t>
  </si>
  <si>
    <t>MCDANIEL, ROBERT</t>
  </si>
  <si>
    <t>175 HODGDON MILLS RD</t>
  </si>
  <si>
    <t>207-532-3015</t>
  </si>
  <si>
    <t>bobmcdaniel@msad70.org</t>
  </si>
  <si>
    <t>ME0093837</t>
  </si>
  <si>
    <t>MSAD 70 HODGDON HIGH SCHOOL</t>
  </si>
  <si>
    <t>ME0094461</t>
  </si>
  <si>
    <t>MSU 122 NEW SWEDEN ELEMENTARY SCHOOL</t>
  </si>
  <si>
    <t>MSU 122 SUPT OF SCHOOLS</t>
  </si>
  <si>
    <t>843 WOODLAND CENTER ROAD SUITE 3</t>
  </si>
  <si>
    <t>WOODLAND</t>
  </si>
  <si>
    <t>207-498-8436</t>
  </si>
  <si>
    <t>sau122@nscon.org</t>
  </si>
  <si>
    <t>ME0000709</t>
  </si>
  <si>
    <t>MSU 122 WOODLAND ELEMENTARY SCHOOL</t>
  </si>
  <si>
    <t>ME0007428</t>
  </si>
  <si>
    <t>MY BROTHERS PLACE CAMPGROUND</t>
  </si>
  <si>
    <t>NICKEL, ART &amp; SALLY</t>
  </si>
  <si>
    <t>659 NORTH ST</t>
  </si>
  <si>
    <t>207-532-6739</t>
  </si>
  <si>
    <t>mybrotherspl@aol.com</t>
  </si>
  <si>
    <t>ME0025904</t>
  </si>
  <si>
    <t>MYSTIC ACRES CG</t>
  </si>
  <si>
    <t>OXBOW PLT</t>
  </si>
  <si>
    <t>KNIGHT, FRED</t>
  </si>
  <si>
    <t>833 OXBOW ROAD</t>
  </si>
  <si>
    <t>OXBOW PANTATION</t>
  </si>
  <si>
    <t>04764</t>
  </si>
  <si>
    <t>207-435-8077</t>
  </si>
  <si>
    <t>ME0006175</t>
  </si>
  <si>
    <t>NEIL E MICHAUD CAMPGROUND</t>
  </si>
  <si>
    <t>KINNEY, BARBARA</t>
  </si>
  <si>
    <t>164 HOULTON RD</t>
  </si>
  <si>
    <t>207-769-1951</t>
  </si>
  <si>
    <t>ckinney3@maine.rr.com</t>
  </si>
  <si>
    <t>ME0006189</t>
  </si>
  <si>
    <t>NORTHERN LIGHTS MANOR</t>
  </si>
  <si>
    <t>MARTIN, MARSHA</t>
  </si>
  <si>
    <t>5 JUDD STREET</t>
  </si>
  <si>
    <t>207-764-3473</t>
  </si>
  <si>
    <t>mmart51@yahoo.com</t>
  </si>
  <si>
    <t>ME0092382</t>
  </si>
  <si>
    <t>OSGOOD FARM HOMES</t>
  </si>
  <si>
    <t>DOBSON, TROY M</t>
  </si>
  <si>
    <t>PO BOX 3</t>
  </si>
  <si>
    <t>860-614-2882</t>
  </si>
  <si>
    <t>troydob@gmail.com</t>
  </si>
  <si>
    <t>ME0094994</t>
  </si>
  <si>
    <t>OVERLOOK MOTEL</t>
  </si>
  <si>
    <t>LEBOEUF, PHILLIP</t>
  </si>
  <si>
    <t>PO BOX 347</t>
  </si>
  <si>
    <t>207-444-4535</t>
  </si>
  <si>
    <t>phill@overlookmotel.com</t>
  </si>
  <si>
    <t>ME0094534</t>
  </si>
  <si>
    <t>PINE GROVE TERRACE</t>
  </si>
  <si>
    <t>MORSE, DEANNA</t>
  </si>
  <si>
    <t>PO BOX 417</t>
  </si>
  <si>
    <t>PATTEN</t>
  </si>
  <si>
    <t>04765</t>
  </si>
  <si>
    <t>207-528-2333</t>
  </si>
  <si>
    <t>deemorse1@yahoo.com</t>
  </si>
  <si>
    <t>ME0006203</t>
  </si>
  <si>
    <t>PINE VILLAGE</t>
  </si>
  <si>
    <t>WALTON, CARROLL</t>
  </si>
  <si>
    <t>322 WASHBURN ROAD</t>
  </si>
  <si>
    <t>207-764-1674</t>
  </si>
  <si>
    <t>ME0026899</t>
  </si>
  <si>
    <t>PORTERS RESTAURANT</t>
  </si>
  <si>
    <t>PORTER, FRANK</t>
  </si>
  <si>
    <t>PO BOX 390</t>
  </si>
  <si>
    <t>ME0006186</t>
  </si>
  <si>
    <t>PRESQUE ISLE COUNTRY CLUB</t>
  </si>
  <si>
    <t>PO BOX 742</t>
  </si>
  <si>
    <t>207-764-0430</t>
  </si>
  <si>
    <t>snicker01@maine.rr.com</t>
  </si>
  <si>
    <t>ME0091310</t>
  </si>
  <si>
    <t>PRESQUE ISLE WATER DISTRICT</t>
  </si>
  <si>
    <t>FREEMAN, STEPHEN</t>
  </si>
  <si>
    <t>PO BOX 470</t>
  </si>
  <si>
    <t>207-762-5061</t>
  </si>
  <si>
    <t>sfreeman@maine.rr.com</t>
  </si>
  <si>
    <t>ME0007974</t>
  </si>
  <si>
    <t>RENDEZVOUS RESTAURANT</t>
  </si>
  <si>
    <t>LANGLEY, WAYNE</t>
  </si>
  <si>
    <t>PO BOX 942</t>
  </si>
  <si>
    <t>207-493-3236</t>
  </si>
  <si>
    <t>ME0004175</t>
  </si>
  <si>
    <t>RIDEOUTS LODGE AND COTTAGES LLC</t>
  </si>
  <si>
    <t>BROWN, JIM</t>
  </si>
  <si>
    <t>6 WATERFRONT DRIVE</t>
  </si>
  <si>
    <t>207-448-2440</t>
  </si>
  <si>
    <t>jim@rideouts.com</t>
  </si>
  <si>
    <t>ME0095691</t>
  </si>
  <si>
    <t>RIVERS BEND MOBILE HOME PARK</t>
  </si>
  <si>
    <t>THERIAULT, PAUL</t>
  </si>
  <si>
    <t>339 RIVER ROAD LOT 6</t>
  </si>
  <si>
    <t>207-498-6405</t>
  </si>
  <si>
    <t>joaniet@maine.rr.com</t>
  </si>
  <si>
    <t>ME0002429</t>
  </si>
  <si>
    <t>RIVERSIDE MOTOR COURTS-DOWN HOME PARK</t>
  </si>
  <si>
    <t>GOODALL, SHEILA</t>
  </si>
  <si>
    <t>563 ACCESS HIGHWAY SUITE 1</t>
  </si>
  <si>
    <t>207-492-1400</t>
  </si>
  <si>
    <t>shadam3256@hotmail.com</t>
  </si>
  <si>
    <t>ME0008201</t>
  </si>
  <si>
    <t>ROSETTES RESTAURANT</t>
  </si>
  <si>
    <t>GERVAIS, MARY</t>
  </si>
  <si>
    <t>PO BOX 224</t>
  </si>
  <si>
    <t>207-543-7759</t>
  </si>
  <si>
    <t>rosettes4@roadrunner.com</t>
  </si>
  <si>
    <t>ME0092383</t>
  </si>
  <si>
    <t>ROSEWOOD ESTATES</t>
  </si>
  <si>
    <t>LEVASSEUR, JUDIE</t>
  </si>
  <si>
    <t>26 PINE STREET UNIT 15</t>
  </si>
  <si>
    <t>207-834-7176</t>
  </si>
  <si>
    <t>ME0094989</t>
  </si>
  <si>
    <t>RSU 39 SKI BUILDING</t>
  </si>
  <si>
    <t>RECTOR, LARRY</t>
  </si>
  <si>
    <t>EAST AROOSTOOK RSU 39- 628 MAIN STREET</t>
  </si>
  <si>
    <t>207-493-4865</t>
  </si>
  <si>
    <t>lrector@rsu39.org</t>
  </si>
  <si>
    <t>ME0194200</t>
  </si>
  <si>
    <t>SMITH FARMS-WESTFIELD</t>
  </si>
  <si>
    <t>SMITH, EMILY</t>
  </si>
  <si>
    <t>99 FORT FAIRFIELD RD STE 1</t>
  </si>
  <si>
    <t>04769-5000</t>
  </si>
  <si>
    <t>207-764-4540</t>
  </si>
  <si>
    <t>ME0094039</t>
  </si>
  <si>
    <t>SMITHS FARM INC</t>
  </si>
  <si>
    <t>ME0009401</t>
  </si>
  <si>
    <t>SOUTHERN AROOSTOOK COMM SCHOOL</t>
  </si>
  <si>
    <t>MALONE, LARRY</t>
  </si>
  <si>
    <t>922 DYER BROOK ROAD</t>
  </si>
  <si>
    <t>207-757-8206</t>
  </si>
  <si>
    <t>ME0091840</t>
  </si>
  <si>
    <t>ST  AGATHA HOUSING</t>
  </si>
  <si>
    <t>ALBERT, MICHAEL</t>
  </si>
  <si>
    <t>PO BOX 466</t>
  </si>
  <si>
    <t>207-834-6725</t>
  </si>
  <si>
    <t>sjvalleyrealty@fairpoint.net</t>
  </si>
  <si>
    <t>ME0091390</t>
  </si>
  <si>
    <t>ST FRANCIS WATER DISTRICT</t>
  </si>
  <si>
    <t>ST FRANCIS</t>
  </si>
  <si>
    <t>MARTIN, LOUISE</t>
  </si>
  <si>
    <t>873 MAIN STREET</t>
  </si>
  <si>
    <t>04774</t>
  </si>
  <si>
    <t>207-398-4222</t>
  </si>
  <si>
    <t>louise.sfwd@hotmail.com</t>
  </si>
  <si>
    <t>ME0021229</t>
  </si>
  <si>
    <t>ST FROID LAKE CAMPS &amp; CAMPGROUND</t>
  </si>
  <si>
    <t>WINTERVILLE PLT</t>
  </si>
  <si>
    <t>DUNNELS, DARREN</t>
  </si>
  <si>
    <t>134 LAKEVIEW DRIVE</t>
  </si>
  <si>
    <t>WINTERVILLE</t>
  </si>
  <si>
    <t>207-444-4581</t>
  </si>
  <si>
    <t>ME0093829</t>
  </si>
  <si>
    <t>ST JOHN VALLEY VOC/TECH CTR</t>
  </si>
  <si>
    <t>DESJARDINS, FERN</t>
  </si>
  <si>
    <t>PO BOX 9</t>
  </si>
  <si>
    <t>207-543-7334</t>
  </si>
  <si>
    <t>fdesjardins@msad33.net</t>
  </si>
  <si>
    <t>ME0095090</t>
  </si>
  <si>
    <t>ST JOSEPH NURSING HOME</t>
  </si>
  <si>
    <t>LANDRY, CINDY</t>
  </si>
  <si>
    <t>PO BOX 469</t>
  </si>
  <si>
    <t>207-543-6478</t>
  </si>
  <si>
    <t>clandry@sjnh.us</t>
  </si>
  <si>
    <t>ME0007400</t>
  </si>
  <si>
    <t>STAR DUST MOTEL INC</t>
  </si>
  <si>
    <t>LONGSTAFF, RICHARD</t>
  </si>
  <si>
    <t>672 NORTH STREET</t>
  </si>
  <si>
    <t>04730-3539</t>
  </si>
  <si>
    <t>207-532-6538</t>
  </si>
  <si>
    <t>stardust@mfx.net</t>
  </si>
  <si>
    <t>ME0002421</t>
  </si>
  <si>
    <t>SUNNY SLOPE TRAILER PARK</t>
  </si>
  <si>
    <t>JANDREAU, LARRY</t>
  </si>
  <si>
    <t>225 POWERS RD</t>
  </si>
  <si>
    <t>207-498-8122</t>
  </si>
  <si>
    <t>ME0094852</t>
  </si>
  <si>
    <t>THE HIDEAWAY</t>
  </si>
  <si>
    <t>DAIGLE, JOHN</t>
  </si>
  <si>
    <t>1209 CARIBOU AVE</t>
  </si>
  <si>
    <t>NEW CANADA</t>
  </si>
  <si>
    <t>207-834-7340</t>
  </si>
  <si>
    <t>ME0007968</t>
  </si>
  <si>
    <t>TK MOBILE HOME &amp; RV PARK</t>
  </si>
  <si>
    <t>WOJDYLA, BARBARA</t>
  </si>
  <si>
    <t>251 EXPRESSWAY LANE</t>
  </si>
  <si>
    <t>BRANSON</t>
  </si>
  <si>
    <t>MO</t>
  </si>
  <si>
    <t>65616-7123</t>
  </si>
  <si>
    <t>207-540-7210</t>
  </si>
  <si>
    <t>barbara@mizinvestments.com</t>
  </si>
  <si>
    <t>ME0092359</t>
  </si>
  <si>
    <t>TOWN AND COUNTRY APARTMENTS</t>
  </si>
  <si>
    <t>HEDRICH, GREG</t>
  </si>
  <si>
    <t>15 INDUSTRIAL STREET</t>
  </si>
  <si>
    <t>207-764-3747</t>
  </si>
  <si>
    <t>ME0293854</t>
  </si>
  <si>
    <t>TOWN OF PORTAGE LAKE</t>
  </si>
  <si>
    <t>UMPHREY, HOLLIE</t>
  </si>
  <si>
    <t>PO BOR 255</t>
  </si>
  <si>
    <t>207-435-4361</t>
  </si>
  <si>
    <t>townofportagelake@gmail.com</t>
  </si>
  <si>
    <t>ME0094866</t>
  </si>
  <si>
    <t>TRACK DOWN KENNELS &amp; LODGE</t>
  </si>
  <si>
    <t>GUIMOND, RENA</t>
  </si>
  <si>
    <t>891 AROOSTOOK RD</t>
  </si>
  <si>
    <t>WALLAGRASS</t>
  </si>
  <si>
    <t>04781</t>
  </si>
  <si>
    <t>207-834-3612</t>
  </si>
  <si>
    <t>becky@trackdownkennelslodge.com</t>
  </si>
  <si>
    <t>ME0193739</t>
  </si>
  <si>
    <t>TRAFTON LAKE CAMPGROUND</t>
  </si>
  <si>
    <t>BROOKER, AMANDA</t>
  </si>
  <si>
    <t>93 MAIN STREET</t>
  </si>
  <si>
    <t>207-325-4791</t>
  </si>
  <si>
    <t>rec@limestonemaine.org</t>
  </si>
  <si>
    <t>ME0094981</t>
  </si>
  <si>
    <t>US BORDER PATROL- FORT FAIRFIELD</t>
  </si>
  <si>
    <t>HEBERT, DAN</t>
  </si>
  <si>
    <t>12 PLEASANT STREET</t>
  </si>
  <si>
    <t>COLEBROOK</t>
  </si>
  <si>
    <t>NH</t>
  </si>
  <si>
    <t>03576</t>
  </si>
  <si>
    <t>603-237-4454</t>
  </si>
  <si>
    <t>dhebert@dhigc.com</t>
  </si>
  <si>
    <t>ME0094594</t>
  </si>
  <si>
    <t>US BORDER STATION-BRIDGEWATER</t>
  </si>
  <si>
    <t>BRIDGEWATER</t>
  </si>
  <si>
    <t>MCSHERRY-AMEC, RICHARD</t>
  </si>
  <si>
    <t>511 CONGRESS STREET</t>
  </si>
  <si>
    <t>207-828-2611</t>
  </si>
  <si>
    <t>richard.mcsherry@amec.com</t>
  </si>
  <si>
    <t>ME0194599</t>
  </si>
  <si>
    <t>US BORDER STATION-HAMLIN</t>
  </si>
  <si>
    <t>HAMLIN</t>
  </si>
  <si>
    <t>ME0094628</t>
  </si>
  <si>
    <t>US BORDER STATION-HODGDON</t>
  </si>
  <si>
    <t>DODGE, CARL</t>
  </si>
  <si>
    <t>27 CUSTOMS LOOP</t>
  </si>
  <si>
    <t>207-532-7852</t>
  </si>
  <si>
    <t>carl.dodge@gsa.gov</t>
  </si>
  <si>
    <t>ME0098284</t>
  </si>
  <si>
    <t>US BORDER STATION-LIMESTONE</t>
  </si>
  <si>
    <t>ME0098530</t>
  </si>
  <si>
    <t>US BORDER STATION-ORIENT</t>
  </si>
  <si>
    <t>ORIENT</t>
  </si>
  <si>
    <t>DODGE SR, CARL</t>
  </si>
  <si>
    <t>ME0007468</t>
  </si>
  <si>
    <t>VA JO WA GOLF CLUB</t>
  </si>
  <si>
    <t>WALKER, WARREN</t>
  </si>
  <si>
    <t>142A WALKER ROAD</t>
  </si>
  <si>
    <t>207-463-2128</t>
  </si>
  <si>
    <t>ME0094906</t>
  </si>
  <si>
    <t>VACATIONLAND ESTATES</t>
  </si>
  <si>
    <t>RIGBY, HEIDI</t>
  </si>
  <si>
    <t>PO BOX 510</t>
  </si>
  <si>
    <t>207-463-2884</t>
  </si>
  <si>
    <t>heidi.ver@fairpoint.net</t>
  </si>
  <si>
    <t>ME0091540</t>
  </si>
  <si>
    <t>VAN BUREN WATER DISTRICT</t>
  </si>
  <si>
    <t>DUMAIS, PHILIP</t>
  </si>
  <si>
    <t>PO BOX 129</t>
  </si>
  <si>
    <t>207-868-2285</t>
  </si>
  <si>
    <t>vblight@myfairpoint.net</t>
  </si>
  <si>
    <t>ME0091570</t>
  </si>
  <si>
    <t>WASHBURN WATER &amp; SEWER DIST</t>
  </si>
  <si>
    <t>PALMER, MATT</t>
  </si>
  <si>
    <t>1259 A MAIN STREET</t>
  </si>
  <si>
    <t>207-455-1042</t>
  </si>
  <si>
    <t>washburnwsd@ainop.com</t>
  </si>
  <si>
    <t>ME0002390</t>
  </si>
  <si>
    <t>WEST GATE VILLA MHP</t>
  </si>
  <si>
    <t>ME0095330</t>
  </si>
  <si>
    <t>WEST RIDGE MANOR</t>
  </si>
  <si>
    <t>BRADLEY, JACKALENE</t>
  </si>
  <si>
    <t>PO BOX 444</t>
  </si>
  <si>
    <t>207-488-6652</t>
  </si>
  <si>
    <t>jb04740@aol.com</t>
  </si>
  <si>
    <t>ME0022994</t>
  </si>
  <si>
    <t>WILDERNESS  PINES CAMPGROUND</t>
  </si>
  <si>
    <t>CROFTON MACDONALD, DOLORAS</t>
  </si>
  <si>
    <t>88 BELL ROAD</t>
  </si>
  <si>
    <t>LITTLETON</t>
  </si>
  <si>
    <t>207-538-4500</t>
  </si>
  <si>
    <t>crofton.macdonald@verizon.net</t>
  </si>
  <si>
    <t>ME0092308</t>
  </si>
  <si>
    <t>WINDERMERE APARTMENTS</t>
  </si>
  <si>
    <t>CYR, WAYNE D</t>
  </si>
  <si>
    <t>7 WILLIMANTIC CT</t>
  </si>
  <si>
    <t>207-764-6333</t>
  </si>
  <si>
    <t>cyrmgt@ainop.com</t>
  </si>
  <si>
    <t>ME0090010</t>
  </si>
  <si>
    <t>ADDISON POINT WATER DISTRICT</t>
  </si>
  <si>
    <t>ADDISON</t>
  </si>
  <si>
    <t>SMITH, ALLISON</t>
  </si>
  <si>
    <t>PO BOX 124</t>
  </si>
  <si>
    <t>04606</t>
  </si>
  <si>
    <t>207-483-4074</t>
  </si>
  <si>
    <t>ME0090030</t>
  </si>
  <si>
    <t>ALLEN WATER COMPANY</t>
  </si>
  <si>
    <t>COLUMBIA</t>
  </si>
  <si>
    <t>TIBBETTS, BION</t>
  </si>
  <si>
    <t>PO BOX 159</t>
  </si>
  <si>
    <t>COLUMBIA FALLS</t>
  </si>
  <si>
    <t>04623</t>
  </si>
  <si>
    <t>207-557-6001</t>
  </si>
  <si>
    <t>bion.tibbetts@gmail.com</t>
  </si>
  <si>
    <t>ME0193835</t>
  </si>
  <si>
    <t>AOS 77 ALEXANDER ELEMENTARY SCHOOL</t>
  </si>
  <si>
    <t>ALEXANDER</t>
  </si>
  <si>
    <t>AOS 77 SUPERINTENDENT OF SCHOOLS</t>
  </si>
  <si>
    <t>32 BLUE DEVIL HILL</t>
  </si>
  <si>
    <t>CALAIS</t>
  </si>
  <si>
    <t>04619</t>
  </si>
  <si>
    <t>207-454-7561</t>
  </si>
  <si>
    <t>ME0009850</t>
  </si>
  <si>
    <t>AOS 77 CALAIS HIGH SCHOOL</t>
  </si>
  <si>
    <t>ME0093820</t>
  </si>
  <si>
    <t>AOS 77 PEMBROKE ELEMENTARY SCHOOL</t>
  </si>
  <si>
    <t>PEMBROKE</t>
  </si>
  <si>
    <t>ME0093823</t>
  </si>
  <si>
    <t>AOS 77 ROBBINSTON GRADE SCHOOL</t>
  </si>
  <si>
    <t>ROBBINSTON</t>
  </si>
  <si>
    <t>ROBBINSTON GRADE SCHOOL</t>
  </si>
  <si>
    <t>904 US RTE 1</t>
  </si>
  <si>
    <t>04671</t>
  </si>
  <si>
    <t>207-454-3694</t>
  </si>
  <si>
    <t>ME0009226</t>
  </si>
  <si>
    <t>AOS 96 WHITING VILLAGE SCHOOL</t>
  </si>
  <si>
    <t>WHITING</t>
  </si>
  <si>
    <t>JOHNSON, SCOTT</t>
  </si>
  <si>
    <t>PO BOX 2,    145 US ROUTE 1</t>
  </si>
  <si>
    <t>04691</t>
  </si>
  <si>
    <t>207-733-4617</t>
  </si>
  <si>
    <t>sjohnsonwvs@msln.net</t>
  </si>
  <si>
    <t>ME0098272</t>
  </si>
  <si>
    <t>ARCHIBALDS ONE-STOP</t>
  </si>
  <si>
    <t>EAST MACHIAS</t>
  </si>
  <si>
    <t>GARDNER JR, CLINTON</t>
  </si>
  <si>
    <t>PO BOX 209 ROUTE 1</t>
  </si>
  <si>
    <t>04630</t>
  </si>
  <si>
    <t>ME0094686</t>
  </si>
  <si>
    <t>ARNOLD MEMORIAL MEDICAL BLDG</t>
  </si>
  <si>
    <t>JONESPORT</t>
  </si>
  <si>
    <t>ARNOLD MEMORIAL MEDICAL CENTER</t>
  </si>
  <si>
    <t>70 SNARE CREEK LN</t>
  </si>
  <si>
    <t>04649</t>
  </si>
  <si>
    <t>ME0090100</t>
  </si>
  <si>
    <t>BAILEYVILLE UTILITIES DISTRICT</t>
  </si>
  <si>
    <t>ROLFE, GARDNER</t>
  </si>
  <si>
    <t>PO BOX 40</t>
  </si>
  <si>
    <t>207-427-3328</t>
  </si>
  <si>
    <t>90100@myfairpoint.net</t>
  </si>
  <si>
    <t>ME0000718</t>
  </si>
  <si>
    <t>BAPTIST YOUTH CAMP</t>
  </si>
  <si>
    <t>CHARLOTTE</t>
  </si>
  <si>
    <t>MUNRO, ADRIAN</t>
  </si>
  <si>
    <t>56 LEDGELAWN AVENUE</t>
  </si>
  <si>
    <t>BAR HARBOR</t>
  </si>
  <si>
    <t>04604</t>
  </si>
  <si>
    <t>207-460-1536</t>
  </si>
  <si>
    <t>a@byc.cc</t>
  </si>
  <si>
    <t>ME0094783</t>
  </si>
  <si>
    <t>BARREN VIEW GOLF COURSE</t>
  </si>
  <si>
    <t>JONESBORO</t>
  </si>
  <si>
    <t>ESPLING, LENNY</t>
  </si>
  <si>
    <t>1354 US US ROUTE 1</t>
  </si>
  <si>
    <t>04648</t>
  </si>
  <si>
    <t>207-434-6531</t>
  </si>
  <si>
    <t>ME0095575</t>
  </si>
  <si>
    <t>BOUDREAU TRAILER PARK</t>
  </si>
  <si>
    <t>WOODRUFF, LINDA</t>
  </si>
  <si>
    <t>50 EASTERN CUT OFF ROAD</t>
  </si>
  <si>
    <t>207-796-2933</t>
  </si>
  <si>
    <t>ME0094725</t>
  </si>
  <si>
    <t>C &amp; D CORP - DEBLOIS</t>
  </si>
  <si>
    <t>DEBLOIS</t>
  </si>
  <si>
    <t>HAMMOND, DARIN</t>
  </si>
  <si>
    <t>601 RT 193</t>
  </si>
  <si>
    <t>04622</t>
  </si>
  <si>
    <t>207-638-2201</t>
  </si>
  <si>
    <t>DHAMMOND@WYMANS.COM</t>
  </si>
  <si>
    <t>ME0090290</t>
  </si>
  <si>
    <t>CALAIS WATER DEPT</t>
  </si>
  <si>
    <t>MADORE, GARY J</t>
  </si>
  <si>
    <t>PO BOX 413</t>
  </si>
  <si>
    <t>207-454-2760</t>
  </si>
  <si>
    <t>ME0094703</t>
  </si>
  <si>
    <t>CAMP EAGLE WING</t>
  </si>
  <si>
    <t>MARION TWP</t>
  </si>
  <si>
    <t>BEVIER JR, CHARLES</t>
  </si>
  <si>
    <t>PO BOX 265</t>
  </si>
  <si>
    <t>ROCKY HILL</t>
  </si>
  <si>
    <t>CT</t>
  </si>
  <si>
    <t>06067</t>
  </si>
  <si>
    <t>860-563-2804</t>
  </si>
  <si>
    <t>eaglewingcamp@aol.com</t>
  </si>
  <si>
    <t>ME0094976</t>
  </si>
  <si>
    <t>CAPPUCCINO GALLERY &amp; GARDENS</t>
  </si>
  <si>
    <t>MCCABE, JEANNETTE K</t>
  </si>
  <si>
    <t>530 US ROUTE 1</t>
  </si>
  <si>
    <t>04666</t>
  </si>
  <si>
    <t>207-726-4761</t>
  </si>
  <si>
    <t>kathy@4-dphoto.com</t>
  </si>
  <si>
    <t>ME0094793</t>
  </si>
  <si>
    <t>CAUSEWAY COMMONS</t>
  </si>
  <si>
    <t>MICHAUD, TOM</t>
  </si>
  <si>
    <t>PO BOX 84</t>
  </si>
  <si>
    <t>207-255-8596</t>
  </si>
  <si>
    <t>ME0094860</t>
  </si>
  <si>
    <t>CHANDLER RIVER LODGE</t>
  </si>
  <si>
    <t>FOSS, BETHANY</t>
  </si>
  <si>
    <t>78 MAIN STREET</t>
  </si>
  <si>
    <t>207-460-3351</t>
  </si>
  <si>
    <t>ME0093736</t>
  </si>
  <si>
    <t>CHERRYFIELD FOODS INC</t>
  </si>
  <si>
    <t>CHERRYFIELD</t>
  </si>
  <si>
    <t>LANIGAN, CHRIS</t>
  </si>
  <si>
    <t>PO BOX 128</t>
  </si>
  <si>
    <t>207-255-8364</t>
  </si>
  <si>
    <t>chris.lanigan@cherryfoods.com</t>
  </si>
  <si>
    <t>ME0023772</t>
  </si>
  <si>
    <t>COBSCOOK BAY CAFE</t>
  </si>
  <si>
    <t>EDMUNDS TWP</t>
  </si>
  <si>
    <t>PRESTON, HARDY J</t>
  </si>
  <si>
    <t>39 BUNKER HILL ROAD</t>
  </si>
  <si>
    <t>EDMUND</t>
  </si>
  <si>
    <t>04628</t>
  </si>
  <si>
    <t>207-263-7107</t>
  </si>
  <si>
    <t>ME0094900</t>
  </si>
  <si>
    <t>COBSCOOK COMM LEARNING CENTER</t>
  </si>
  <si>
    <t>TRESCOTT TWP</t>
  </si>
  <si>
    <t>THOMPSON, KEVIN</t>
  </si>
  <si>
    <t>10 COMMISSARY POINT RD</t>
  </si>
  <si>
    <t>TRESCOTT</t>
  </si>
  <si>
    <t>04652</t>
  </si>
  <si>
    <t>207-733-2233</t>
  </si>
  <si>
    <t>kev@thecclc.org</t>
  </si>
  <si>
    <t>ME0094853</t>
  </si>
  <si>
    <t>COBSCOOK COMM LEARNING CENTER - 2</t>
  </si>
  <si>
    <t>ME0092287</t>
  </si>
  <si>
    <t>COUNTRY VIEW APTS</t>
  </si>
  <si>
    <t>CLARK, PAMELA</t>
  </si>
  <si>
    <t>HUGHES ASSO.  670 UNION ST</t>
  </si>
  <si>
    <t>BANGOR</t>
  </si>
  <si>
    <t>04401</t>
  </si>
  <si>
    <t>207-561-4700</t>
  </si>
  <si>
    <t>hughespm@adelphia.net</t>
  </si>
  <si>
    <t>ME0090420</t>
  </si>
  <si>
    <t>DANFORTH WATER DISTRICT</t>
  </si>
  <si>
    <t>MAILMAN, GREGORY N</t>
  </si>
  <si>
    <t>PO BOX  307</t>
  </si>
  <si>
    <t>207-448-7097</t>
  </si>
  <si>
    <t>gmailman1@myfairpoint.net</t>
  </si>
  <si>
    <t>ME0090427</t>
  </si>
  <si>
    <t>DENNYSVILLE HOUSING</t>
  </si>
  <si>
    <t>DENNYSVILLE</t>
  </si>
  <si>
    <t>SUNRISE OPPORTUNITIES</t>
  </si>
  <si>
    <t>ME0094726</t>
  </si>
  <si>
    <t>DOWN EAST COMMUNITY HOSPITAL</t>
  </si>
  <si>
    <t>STOW, CODY</t>
  </si>
  <si>
    <t>11 HOSPITAL DRIVE</t>
  </si>
  <si>
    <t>207-255-0252</t>
  </si>
  <si>
    <t>codys@dech.org</t>
  </si>
  <si>
    <t>ME0098560</t>
  </si>
  <si>
    <t>DOWNEAST CORRECTIONAL FACILITY</t>
  </si>
  <si>
    <t>MACHIASPORT</t>
  </si>
  <si>
    <t>COBB, TIM</t>
  </si>
  <si>
    <t>64 BASE RD</t>
  </si>
  <si>
    <t>04655</t>
  </si>
  <si>
    <t>207-255-1100</t>
  </si>
  <si>
    <t>timothy.cobb@maine.gov</t>
  </si>
  <si>
    <t>ME0094998</t>
  </si>
  <si>
    <t>DOWNEAST INSTITUTE</t>
  </si>
  <si>
    <t>BEALS</t>
  </si>
  <si>
    <t>BEAL, BRIAN</t>
  </si>
  <si>
    <t>PO BOX 83</t>
  </si>
  <si>
    <t>BEALS ISLAND</t>
  </si>
  <si>
    <t>04611</t>
  </si>
  <si>
    <t>207-255-1314</t>
  </si>
  <si>
    <t>bbeal@maine.edu</t>
  </si>
  <si>
    <t>ME0094987</t>
  </si>
  <si>
    <t>EAGLE HILL INSTITUTE-DINING</t>
  </si>
  <si>
    <t>STEUBEN</t>
  </si>
  <si>
    <t>LOTZE, JOERG-HENNER</t>
  </si>
  <si>
    <t>59 EAGLE HILL ROAD</t>
  </si>
  <si>
    <t>04680</t>
  </si>
  <si>
    <t>207-546-2821</t>
  </si>
  <si>
    <t>joerg@eaglehill.us</t>
  </si>
  <si>
    <t>ME0194987</t>
  </si>
  <si>
    <t>EAGLE HILL INSTITUTE-DORM</t>
  </si>
  <si>
    <t>ME0015149</t>
  </si>
  <si>
    <t>EAST MACHIAS CAMP MEETING- UPPER CAMP</t>
  </si>
  <si>
    <t>EAST MACHIAS CAMP MEETING ASSOCIATION</t>
  </si>
  <si>
    <t>PO BOX 295</t>
  </si>
  <si>
    <t>207-255-5862</t>
  </si>
  <si>
    <t>ME0008806</t>
  </si>
  <si>
    <t>EDMUNDS CONS SCHOOL</t>
  </si>
  <si>
    <t>ME0094090</t>
  </si>
  <si>
    <t>ELMERS COUNTRY STORE</t>
  </si>
  <si>
    <t>MORRIS II, ELMER</t>
  </si>
  <si>
    <t>207-483-2100</t>
  </si>
  <si>
    <t>ME0012557</t>
  </si>
  <si>
    <t>ELMERS SEAFOOD SHACK</t>
  </si>
  <si>
    <t>LOOK, KIMBERLY</t>
  </si>
  <si>
    <t>366 US HWY 1</t>
  </si>
  <si>
    <t>207-483-6080</t>
  </si>
  <si>
    <t>kbaileylook@hotmail.com</t>
  </si>
  <si>
    <t>ME0090745</t>
  </si>
  <si>
    <t>GAELIC SQUARE HOUSING</t>
  </si>
  <si>
    <t>FICKETT, RICHARD L</t>
  </si>
  <si>
    <t>138 PARK STREET</t>
  </si>
  <si>
    <t>207-546-7800</t>
  </si>
  <si>
    <t>rfickett@mgemaine.com</t>
  </si>
  <si>
    <t>ME0011638</t>
  </si>
  <si>
    <t>GREAT COVE GOLF COURSE</t>
  </si>
  <si>
    <t>ROQUE BLUFFS</t>
  </si>
  <si>
    <t>SINFORD, LEON M</t>
  </si>
  <si>
    <t>387 GREAT COVE ROAD</t>
  </si>
  <si>
    <t>ROGUE BLUFFS</t>
  </si>
  <si>
    <t>207-434-7200</t>
  </si>
  <si>
    <t>ME0011810</t>
  </si>
  <si>
    <t>GREENLAND COVE CAMPGROUND</t>
  </si>
  <si>
    <t>BROWN, BRENDA</t>
  </si>
  <si>
    <t>93 MILITARY STREET</t>
  </si>
  <si>
    <t>207-532-6593</t>
  </si>
  <si>
    <t>brenda@madiganestates.com</t>
  </si>
  <si>
    <t>ME0092296</t>
  </si>
  <si>
    <t>HADLEYS LAKE APARTMENTS</t>
  </si>
  <si>
    <t>MACDONALD, TERI</t>
  </si>
  <si>
    <t>113 HIGHBROOK ROAD</t>
  </si>
  <si>
    <t>04609</t>
  </si>
  <si>
    <t>207-288-3208</t>
  </si>
  <si>
    <t>ME0092407</t>
  </si>
  <si>
    <t>HARRINGTON EARLY CARE &amp; EDUCATION CENTER</t>
  </si>
  <si>
    <t>HARRINGTON</t>
  </si>
  <si>
    <t>NOBEL, RACHEL</t>
  </si>
  <si>
    <t>PO BOX 648</t>
  </si>
  <si>
    <t>207-667-2995</t>
  </si>
  <si>
    <t>racheln@childandfamilyopp.com</t>
  </si>
  <si>
    <t>ME0006694</t>
  </si>
  <si>
    <t>HARRIS POINT SHORE MOTEL &amp; COTTAGES</t>
  </si>
  <si>
    <t>NEWCOMB, LINDA</t>
  </si>
  <si>
    <t>24 HARRIS POINT RD</t>
  </si>
  <si>
    <t>207-853-4303</t>
  </si>
  <si>
    <t>ME0002302</t>
  </si>
  <si>
    <t>HESLINS MOTEL</t>
  </si>
  <si>
    <t>ORKIN, LORRAINE</t>
  </si>
  <si>
    <t>26 BROGAN ROAD</t>
  </si>
  <si>
    <t>207-454-3762</t>
  </si>
  <si>
    <t>ME0006324</t>
  </si>
  <si>
    <t>HILLTOP CAMPGROUND</t>
  </si>
  <si>
    <t>HENNEQUIN, MARSHALL</t>
  </si>
  <si>
    <t>317 RIDGE ROAD</t>
  </si>
  <si>
    <t>207-454-3985</t>
  </si>
  <si>
    <t>ME0094846</t>
  </si>
  <si>
    <t>HILLTOP DINER &amp; DELI LLC</t>
  </si>
  <si>
    <t>CRAWFORD</t>
  </si>
  <si>
    <t>QUIGLEY, GLORIA</t>
  </si>
  <si>
    <t>PO BOX 43</t>
  </si>
  <si>
    <t>207-454-3031</t>
  </si>
  <si>
    <t>ME0090719</t>
  </si>
  <si>
    <t>INDIAN TOWNSHIP TRIBAL WATER SYSTEM</t>
  </si>
  <si>
    <t>INDIAN TWP ST IND RS</t>
  </si>
  <si>
    <t>STEVENS JR, GEORGE</t>
  </si>
  <si>
    <t>207-796-5263</t>
  </si>
  <si>
    <t>ME0002539</t>
  </si>
  <si>
    <t>JASPER WYMAN &amp; SON</t>
  </si>
  <si>
    <t>ROSSI, ELLEN</t>
  </si>
  <si>
    <t>207-546-3381</t>
  </si>
  <si>
    <t>elrossi@wymans.com</t>
  </si>
  <si>
    <t>ME0002304</t>
  </si>
  <si>
    <t>KEENES LAKE FAMILY CAMPGROUND</t>
  </si>
  <si>
    <t>OSBORNE, DANA</t>
  </si>
  <si>
    <t>70 KEENES LAKE RD</t>
  </si>
  <si>
    <t>207-454-2022</t>
  </si>
  <si>
    <t>keeneslakecampground@yahoo.com</t>
  </si>
  <si>
    <t>ME0007132</t>
  </si>
  <si>
    <t>LEENS LODGE</t>
  </si>
  <si>
    <t>GRAND LAKE STR</t>
  </si>
  <si>
    <t>DRIZA, CHARLES</t>
  </si>
  <si>
    <t>3 WATER STREET #40</t>
  </si>
  <si>
    <t>GRAND LAKE STREAM</t>
  </si>
  <si>
    <t>04637</t>
  </si>
  <si>
    <t>207-796-2929</t>
  </si>
  <si>
    <t>cdriza@leenslodge.com</t>
  </si>
  <si>
    <t>ME0008328</t>
  </si>
  <si>
    <t>LONG LAKE CAMPS INC</t>
  </si>
  <si>
    <t>WHITMAN, STEVE</t>
  </si>
  <si>
    <t>PO BOX 817</t>
  </si>
  <si>
    <t>207-796-2051</t>
  </si>
  <si>
    <t>ME0090900</t>
  </si>
  <si>
    <t>LUBEC WATER  DISTRICT</t>
  </si>
  <si>
    <t>LUBEC</t>
  </si>
  <si>
    <t>O'BRIEN, JOE</t>
  </si>
  <si>
    <t>157 PUMPING STATION ROAD</t>
  </si>
  <si>
    <t>207-733-5526</t>
  </si>
  <si>
    <t>lubecwater@yahoo.com</t>
  </si>
  <si>
    <t>ME0094833</t>
  </si>
  <si>
    <t>MACHIAS DENTAL</t>
  </si>
  <si>
    <t>SPARAGA, KATHLEEN</t>
  </si>
  <si>
    <t>271 MAIN STREET</t>
  </si>
  <si>
    <t>207-255-8601</t>
  </si>
  <si>
    <t>kathy.sparaga@machiasdental.com</t>
  </si>
  <si>
    <t>ME0004628</t>
  </si>
  <si>
    <t>MACHIAS TRAILER PARK</t>
  </si>
  <si>
    <t>RADEKA, MICHAEL G</t>
  </si>
  <si>
    <t>PO BOX 357</t>
  </si>
  <si>
    <t>207-263-6715</t>
  </si>
  <si>
    <t>ME0090910</t>
  </si>
  <si>
    <t>MACHIAS WATER COMPANY</t>
  </si>
  <si>
    <t>GRIFFIN, GARY</t>
  </si>
  <si>
    <t>55 WEST STREET</t>
  </si>
  <si>
    <t>207-255-3011</t>
  </si>
  <si>
    <t>ME0003262</t>
  </si>
  <si>
    <t>MAINAYR CAMPGROUND</t>
  </si>
  <si>
    <t>AYERS, CATHY</t>
  </si>
  <si>
    <t>321 VILLAGE ROAD</t>
  </si>
  <si>
    <t>207-546-2690</t>
  </si>
  <si>
    <t>ME0094995</t>
  </si>
  <si>
    <t>MAINE SEACOAST MISSION DOWN EAST CAMPUS</t>
  </si>
  <si>
    <t>HARRINGTON, WENDY</t>
  </si>
  <si>
    <t>PO BOX 428</t>
  </si>
  <si>
    <t>207-546-4466</t>
  </si>
  <si>
    <t>wharrington@seacoastmission.org</t>
  </si>
  <si>
    <t>ME0003447</t>
  </si>
  <si>
    <t>MAINE WILDERNESS CAMPS</t>
  </si>
  <si>
    <t>KOSSUTH TWP</t>
  </si>
  <si>
    <t>BOWES, WILLIAM H</t>
  </si>
  <si>
    <t>HC 82 BOX 1085</t>
  </si>
  <si>
    <t>TOPSFIELD</t>
  </si>
  <si>
    <t>04490</t>
  </si>
  <si>
    <t>207-794-5722</t>
  </si>
  <si>
    <t>ME0093903</t>
  </si>
  <si>
    <t>MDOC ST PK - COBSCOOK BAY</t>
  </si>
  <si>
    <t>HARMON, TOM</t>
  </si>
  <si>
    <t>40 SOUTH EDMUNDS ROAD</t>
  </si>
  <si>
    <t>207-726-4412</t>
  </si>
  <si>
    <t>ME0090980</t>
  </si>
  <si>
    <t>MILBRIDGE WATER DISTRICT</t>
  </si>
  <si>
    <t>PARSONS, DAVID</t>
  </si>
  <si>
    <t>PO BOX 372</t>
  </si>
  <si>
    <t>207-546-2919</t>
  </si>
  <si>
    <t>ME0000174</t>
  </si>
  <si>
    <t>MSAD 37 CHERRYFIELD ELEM SCH</t>
  </si>
  <si>
    <t>MSAD 37 SUPT OF SCHOOLS</t>
  </si>
  <si>
    <t>1020 SACARAP ROAD</t>
  </si>
  <si>
    <t>04643</t>
  </si>
  <si>
    <t>207-483-2734</t>
  </si>
  <si>
    <t>ME0000003</t>
  </si>
  <si>
    <t>MSAD 37 DANIEL W MERRIT SCHOOL</t>
  </si>
  <si>
    <t>ME0014156</t>
  </si>
  <si>
    <t>MSAD 37 HARRINGTON ELEM SCHOOL</t>
  </si>
  <si>
    <t>ME0000411</t>
  </si>
  <si>
    <t>MSAD 37 MILBRIDGE ELEM SCHOOL</t>
  </si>
  <si>
    <t>ME0009222</t>
  </si>
  <si>
    <t>MSU 102 ELM STREET SCHOOL</t>
  </si>
  <si>
    <t>SUPT OF SCHLS- MSU 102 TOWN OF E MACHIAS</t>
  </si>
  <si>
    <t>291 COURT STREET</t>
  </si>
  <si>
    <t>207-259-4420</t>
  </si>
  <si>
    <t>ME0012984</t>
  </si>
  <si>
    <t>MSU 102 JONESBORO ELEM SCHOOL</t>
  </si>
  <si>
    <t>AOS 96 SUPT OF SCHOOLS</t>
  </si>
  <si>
    <t>207-255-6585</t>
  </si>
  <si>
    <t>ME0093803</t>
  </si>
  <si>
    <t>MSU 103 BEALS ELEM SCHOOL</t>
  </si>
  <si>
    <t>MSU 103 SUPT OF SCHOOLS</t>
  </si>
  <si>
    <t>127 SNARE CREEK LANE</t>
  </si>
  <si>
    <t>04649-3138</t>
  </si>
  <si>
    <t>ME0013480</t>
  </si>
  <si>
    <t>MSU 103 JONESPORT ELEM/JBHS</t>
  </si>
  <si>
    <t>HOWARD, DENIS L</t>
  </si>
  <si>
    <t>207-497-2830</t>
  </si>
  <si>
    <t>dlhoward@union103.org</t>
  </si>
  <si>
    <t>ME0093807</t>
  </si>
  <si>
    <t>MSU 104 CHARLOTTE ELEM SCHOOL</t>
  </si>
  <si>
    <t>MSU 104 SUPT OF SCHOOLS</t>
  </si>
  <si>
    <t>ME0018538</t>
  </si>
  <si>
    <t>MSU 104 PERRY ELEM SCHOOL</t>
  </si>
  <si>
    <t>SMITH, ARLO</t>
  </si>
  <si>
    <t>1587 US RT. #1</t>
  </si>
  <si>
    <t>207-853-2522</t>
  </si>
  <si>
    <t>ME0093810</t>
  </si>
  <si>
    <t>MSU 107 PRINCETON ELEM SCHOOL</t>
  </si>
  <si>
    <t>MSU 107 SUPT OF SCHOOLS</t>
  </si>
  <si>
    <t>289 MAIN STREET</t>
  </si>
  <si>
    <t>ME0008179</t>
  </si>
  <si>
    <t>MSU 108 EAST RANGE II CSD SCHOOL</t>
  </si>
  <si>
    <t>CSD 12 EAST RANGE II SCHOOL</t>
  </si>
  <si>
    <t>PO BOX 580</t>
  </si>
  <si>
    <t>207-796-2665</t>
  </si>
  <si>
    <t>ME0091055</t>
  </si>
  <si>
    <t>NARRAGUAGUS ESTATES</t>
  </si>
  <si>
    <t>ME0005748</t>
  </si>
  <si>
    <t>NEW FRIENDLY RESTAURANT INC</t>
  </si>
  <si>
    <t>PATTERSON, ROBERT S</t>
  </si>
  <si>
    <t>855 SHORE ROAD</t>
  </si>
  <si>
    <t>207-853-6610</t>
  </si>
  <si>
    <t>ME0001232</t>
  </si>
  <si>
    <t>NOOK &amp; CRANNY</t>
  </si>
  <si>
    <t>CLARK, STEVE</t>
  </si>
  <si>
    <t>82 DAVIS ROAD</t>
  </si>
  <si>
    <t>04694-5435</t>
  </si>
  <si>
    <t>207-454-3335</t>
  </si>
  <si>
    <t>ME0090510</t>
  </si>
  <si>
    <t>SEELEY, NANCY</t>
  </si>
  <si>
    <t>56 WATER STREET</t>
  </si>
  <si>
    <t>207-853-2660</t>
  </si>
  <si>
    <t>nancypwd@myfairpoint.net</t>
  </si>
  <si>
    <t>ME0100972</t>
  </si>
  <si>
    <t>PLEASANT LAKE CAMPGROUND #2</t>
  </si>
  <si>
    <t>DAVIS, JAMES</t>
  </si>
  <si>
    <t>371 DAVIS ROAD</t>
  </si>
  <si>
    <t>207-454-7467</t>
  </si>
  <si>
    <t>ME0000972</t>
  </si>
  <si>
    <t>PLEASANT LAKE CAMPING AREA</t>
  </si>
  <si>
    <t>ME0091285</t>
  </si>
  <si>
    <t>PLEASANT VIEW MANOR</t>
  </si>
  <si>
    <t>ME0092388</t>
  </si>
  <si>
    <t>PRINCETON WATER DISTRICT</t>
  </si>
  <si>
    <t>MONK, GREG</t>
  </si>
  <si>
    <t>PO BOX 408</t>
  </si>
  <si>
    <t>207-796-2744</t>
  </si>
  <si>
    <t>princewater@myfairpoint.net</t>
  </si>
  <si>
    <t>ME0091320</t>
  </si>
  <si>
    <t>QUANTABACOOK WATER DISTRICT</t>
  </si>
  <si>
    <t>HAMMOND, ROBERT</t>
  </si>
  <si>
    <t>PO BOX 16</t>
  </si>
  <si>
    <t>207-483-2876</t>
  </si>
  <si>
    <t>ME0006326</t>
  </si>
  <si>
    <t>REDCLYFFE MOTEL &amp; RESTAURANT</t>
  </si>
  <si>
    <t>SUTTON, FRANK</t>
  </si>
  <si>
    <t>PO BOX 40  (RR1)</t>
  </si>
  <si>
    <t>207-454-3270</t>
  </si>
  <si>
    <t>ME0094984</t>
  </si>
  <si>
    <t>ROUTE 191 DINER</t>
  </si>
  <si>
    <t>YOUNG, ROBERT C</t>
  </si>
  <si>
    <t>207-259-1102</t>
  </si>
  <si>
    <t>vabit2000@yahoo.com</t>
  </si>
  <si>
    <t>ME0000614</t>
  </si>
  <si>
    <t>RSU 24 ELLA LEWIS SCHOOL</t>
  </si>
  <si>
    <t>RSU 24 SUPERINTENDENT OF SCHOOLS</t>
  </si>
  <si>
    <t>248 STATE STREET SUITE 3A</t>
  </si>
  <si>
    <t>207-667-8136</t>
  </si>
  <si>
    <t>super@rsu24.org</t>
  </si>
  <si>
    <t>ME0094999</t>
  </si>
  <si>
    <t>SAINT CROIX ISLAND HISTORIC SITE</t>
  </si>
  <si>
    <t>WEAVER, MACK</t>
  </si>
  <si>
    <t>PO BOX 177</t>
  </si>
  <si>
    <t>207-288-8753</t>
  </si>
  <si>
    <t>mack_weaver@nps.gov</t>
  </si>
  <si>
    <t>ME0015162</t>
  </si>
  <si>
    <t>SEAVIEW CAMPGROUND #1</t>
  </si>
  <si>
    <t>POTTLE, BASIL D</t>
  </si>
  <si>
    <t>16 NORWOOD ROAD</t>
  </si>
  <si>
    <t>207-853-4471</t>
  </si>
  <si>
    <t>basilpottle@yahoo.com</t>
  </si>
  <si>
    <t>ME0115162</t>
  </si>
  <si>
    <t>SEAVIEW CAMPGROUND #2</t>
  </si>
  <si>
    <t>ME0095006</t>
  </si>
  <si>
    <t>ST CROIX COUNTRY CLUB INC</t>
  </si>
  <si>
    <t>ELLIS, MIKE</t>
  </si>
  <si>
    <t>PO BOX 294</t>
  </si>
  <si>
    <t>207-454-8875</t>
  </si>
  <si>
    <t>lpdgolf@hotmail.com</t>
  </si>
  <si>
    <t>ME0094993</t>
  </si>
  <si>
    <t>ST CROIX REGIONAL FAMILY HEALTH CENTER</t>
  </si>
  <si>
    <t>HARRIMAN, DENISE</t>
  </si>
  <si>
    <t>136 MILL STREET</t>
  </si>
  <si>
    <t>207-796-5503</t>
  </si>
  <si>
    <t>scrfhc@hotmail.com</t>
  </si>
  <si>
    <t>ME0094709</t>
  </si>
  <si>
    <t>STEP BY STEP CHILD CARE INC</t>
  </si>
  <si>
    <t>JELLISON, EVELYN</t>
  </si>
  <si>
    <t>15 BOZOS WAY</t>
  </si>
  <si>
    <t>207-546-7212</t>
  </si>
  <si>
    <t>ME0009215</t>
  </si>
  <si>
    <t>SUFFOLK UNIVERSITY</t>
  </si>
  <si>
    <t>MERRILL, CARL</t>
  </si>
  <si>
    <t>27 SUFFOLK DRIVE</t>
  </si>
  <si>
    <t>04628-5525</t>
  </si>
  <si>
    <t>207-726-4749</t>
  </si>
  <si>
    <t>cmerrill@suffolk.edu</t>
  </si>
  <si>
    <t>ME0095070</t>
  </si>
  <si>
    <t>SUNRISE CARE FACILITY</t>
  </si>
  <si>
    <t>BRYANT, GERI</t>
  </si>
  <si>
    <t>PO BOX 507</t>
  </si>
  <si>
    <t>207-497-2363</t>
  </si>
  <si>
    <t>gerib@dech.org</t>
  </si>
  <si>
    <t>ME0007299</t>
  </si>
  <si>
    <t>SUNSET POINT CAMPGROUND</t>
  </si>
  <si>
    <t>PETZOLD, KURT</t>
  </si>
  <si>
    <t>24 SUNSET POINT ROAD</t>
  </si>
  <si>
    <t>207-483-4412</t>
  </si>
  <si>
    <t>kurt0347@aol.com</t>
  </si>
  <si>
    <t>ME0095022</t>
  </si>
  <si>
    <t>THE TOWNE FRYER</t>
  </si>
  <si>
    <t>TOWNE, JEREMY</t>
  </si>
  <si>
    <t>272 MAIN STREET</t>
  </si>
  <si>
    <t>207-255-4343</t>
  </si>
  <si>
    <t>ME0093831</t>
  </si>
  <si>
    <t>THOMAS KELLEY APARTMENTS</t>
  </si>
  <si>
    <t>ME0093794</t>
  </si>
  <si>
    <t>UNION 134  BAY RIDGE ELEMENTARY</t>
  </si>
  <si>
    <t>CUTLER</t>
  </si>
  <si>
    <t>ME0000391</t>
  </si>
  <si>
    <t>UNION 134 FORT OBRIEN SCHOOL</t>
  </si>
  <si>
    <t>SUPT OF SCHOOLS - AOS 96</t>
  </si>
  <si>
    <t>ME0094478</t>
  </si>
  <si>
    <t>US BORDER STATION-VANCEBORO</t>
  </si>
  <si>
    <t>VANCEBORO</t>
  </si>
  <si>
    <t>SPEARIN, RONALD</t>
  </si>
  <si>
    <t>180 INTERNATIONAL AVENUE</t>
  </si>
  <si>
    <t>207-454-8464</t>
  </si>
  <si>
    <t>ronald.spearin@gsa.gov</t>
  </si>
  <si>
    <t>ME0091830</t>
  </si>
  <si>
    <t>US CG JONESPORT - STATION</t>
  </si>
  <si>
    <t>USCG STATION JONESPORT - OIC</t>
  </si>
  <si>
    <t>PO BOX 470 US COAST GUARD</t>
  </si>
  <si>
    <t>WEST JONESPORT</t>
  </si>
  <si>
    <t>207-497-2200</t>
  </si>
  <si>
    <t>ME0098280</t>
  </si>
  <si>
    <t>US FW MOOSEHORN NATL WLDLFE R</t>
  </si>
  <si>
    <t>BARING PLT</t>
  </si>
  <si>
    <t>KOLONDNICKI, WILLIAM</t>
  </si>
  <si>
    <t>103 HEADQUARTERS RD</t>
  </si>
  <si>
    <t>BARING</t>
  </si>
  <si>
    <t>207-454-7161</t>
  </si>
  <si>
    <t>ME0094818</t>
  </si>
  <si>
    <t>US NCTAMSLANT DET BLDG 134</t>
  </si>
  <si>
    <t>VAN DUNK, STAN</t>
  </si>
  <si>
    <t>175 RIDGE ROAD</t>
  </si>
  <si>
    <t>04626</t>
  </si>
  <si>
    <t>207-259-8200</t>
  </si>
  <si>
    <t>stanley.vandunk@navy.mil</t>
  </si>
  <si>
    <t>ME0109306</t>
  </si>
  <si>
    <t>WASHINGTON ACADEMY #1</t>
  </si>
  <si>
    <t>WASHINGTON ACADEMY</t>
  </si>
  <si>
    <t>ME0009306</t>
  </si>
  <si>
    <t>WASHINGTON ACADEMY #2</t>
  </si>
  <si>
    <t>ME0209306</t>
  </si>
  <si>
    <t>WASHINGTON ACADEMY #3</t>
  </si>
  <si>
    <t>HOLMES, DOUGLAS</t>
  </si>
  <si>
    <t>207-255-8301</t>
  </si>
  <si>
    <t>d.holmes@washingtonacademy.org</t>
  </si>
  <si>
    <t>ME0309196</t>
  </si>
  <si>
    <t>WASHINGTON CNTY COMM COLLEGE #1</t>
  </si>
  <si>
    <t>THOMPSON, DESIREE</t>
  </si>
  <si>
    <t>ONE COLLEGE DRIVE</t>
  </si>
  <si>
    <t>04619-9704</t>
  </si>
  <si>
    <t>207-454-1021</t>
  </si>
  <si>
    <t>dthompson@wccc.me.edu</t>
  </si>
  <si>
    <t>ME0109196</t>
  </si>
  <si>
    <t>WASHINGTON CNTY COMM COLLEGE #2</t>
  </si>
  <si>
    <t>ME0009196</t>
  </si>
  <si>
    <t>WASHINGTON CNTY COMM COLLEGE #3</t>
  </si>
  <si>
    <t>ME0209196</t>
  </si>
  <si>
    <t>WASHINGTON CNTY COMM COLLEGE #4</t>
  </si>
  <si>
    <t>ME0007136</t>
  </si>
  <si>
    <t>WEATHERBYS LODGE</t>
  </si>
  <si>
    <t>MCEVOY, JEFF</t>
  </si>
  <si>
    <t>112 MILFORD ROAD</t>
  </si>
  <si>
    <t>207-796-5558</t>
  </si>
  <si>
    <t>info@weatherbys.com</t>
  </si>
  <si>
    <t>ME0003456</t>
  </si>
  <si>
    <t>WHEATONS LODGE &amp; CAMPS</t>
  </si>
  <si>
    <t>FOREST CITY TWP</t>
  </si>
  <si>
    <t>WHEATON, DALE    (SUMMER)</t>
  </si>
  <si>
    <t>22 GROVE ROAD</t>
  </si>
  <si>
    <t>04413</t>
  </si>
  <si>
    <t>207-448-7723</t>
  </si>
  <si>
    <t>wheatons1@hotmail.com</t>
  </si>
  <si>
    <t>WARN Mbr</t>
  </si>
  <si>
    <t>No</t>
  </si>
  <si>
    <t>Yes</t>
  </si>
  <si>
    <t>MEWARN</t>
  </si>
  <si>
    <t>Town Served</t>
  </si>
  <si>
    <t>County Served</t>
  </si>
  <si>
    <t>System Name</t>
  </si>
  <si>
    <t>Sanitary Survey Date</t>
  </si>
  <si>
    <t>Water Rates</t>
  </si>
  <si>
    <t>Utility Name</t>
  </si>
  <si>
    <t>Quarterly Rates</t>
  </si>
  <si>
    <t>1200 cu. ft.</t>
  </si>
  <si>
    <t>2000 cu.ft.</t>
  </si>
  <si>
    <t>4000 cu.ft.</t>
  </si>
  <si>
    <t>50,000 cu.ft.</t>
  </si>
  <si>
    <t>150,000 cu.ft.</t>
  </si>
  <si>
    <t>Ownership Code</t>
  </si>
  <si>
    <t>Annual Flat Rate</t>
  </si>
  <si>
    <t>Rates Effective</t>
  </si>
  <si>
    <t>DocketNumber</t>
  </si>
  <si>
    <t>Addison Point Water District</t>
  </si>
  <si>
    <t>-</t>
  </si>
  <si>
    <t>2008-144</t>
  </si>
  <si>
    <t>Alfred Water District</t>
  </si>
  <si>
    <t>None</t>
  </si>
  <si>
    <t>2009-357</t>
  </si>
  <si>
    <t>Allen Water Company</t>
  </si>
  <si>
    <t>1981-017</t>
  </si>
  <si>
    <t>Andover Water District</t>
  </si>
  <si>
    <t>2000-234</t>
  </si>
  <si>
    <t>Anson Water District</t>
  </si>
  <si>
    <t>2008-430</t>
  </si>
  <si>
    <t>Aqua Maine, Bucksport Division</t>
  </si>
  <si>
    <t>2006-162</t>
  </si>
  <si>
    <t>Aqua Maine, Camden Division</t>
  </si>
  <si>
    <t>2009-155</t>
  </si>
  <si>
    <t>Aqua Maine, Freeport Division</t>
  </si>
  <si>
    <t>2004-001</t>
  </si>
  <si>
    <t>Aqua Maine, Greenville Division</t>
  </si>
  <si>
    <t>2006-163</t>
  </si>
  <si>
    <t>Aqua Maine, Hartland Division</t>
  </si>
  <si>
    <t>2007-353</t>
  </si>
  <si>
    <t>Aqua Maine, Kezar Falls Division</t>
  </si>
  <si>
    <t>2007-354</t>
  </si>
  <si>
    <t>Aqua Maine, Millinocket Division</t>
  </si>
  <si>
    <t>2006-021</t>
  </si>
  <si>
    <t>Aqua Maine, Oakland Division</t>
  </si>
  <si>
    <t>Aqua Maine, Skowhegan Division</t>
  </si>
  <si>
    <t>2008-160</t>
  </si>
  <si>
    <t>Ashland Water &amp; Sewer District</t>
  </si>
  <si>
    <t>1996-464</t>
  </si>
  <si>
    <t>Auburn Water District</t>
  </si>
  <si>
    <t>2007-466</t>
  </si>
  <si>
    <t>Augusta Water District</t>
  </si>
  <si>
    <t>2002-641</t>
  </si>
  <si>
    <t>Baileyville Utilities District</t>
  </si>
  <si>
    <t>2009-135</t>
  </si>
  <si>
    <t>Bangor Water District</t>
  </si>
  <si>
    <t>2009-131</t>
  </si>
  <si>
    <t>Bar Harbor Water Department</t>
  </si>
  <si>
    <t>2008-418</t>
  </si>
  <si>
    <t>Bath Water District</t>
  </si>
  <si>
    <t>2006-368</t>
  </si>
  <si>
    <t>Belfast Water District</t>
  </si>
  <si>
    <t>2009-230</t>
  </si>
  <si>
    <t>Berwick Water Department</t>
  </si>
  <si>
    <t>2008-149</t>
  </si>
  <si>
    <t>Bethel Water District</t>
  </si>
  <si>
    <t>2008-181</t>
  </si>
  <si>
    <t>Biddeford &amp; Saco Water Company</t>
  </si>
  <si>
    <t>2008-315</t>
  </si>
  <si>
    <t>Bingham Water District</t>
  </si>
  <si>
    <t>2005-612</t>
  </si>
  <si>
    <t>Boothbay Region Water District</t>
  </si>
  <si>
    <t>1997-222</t>
  </si>
  <si>
    <t>Bowdoinham Water District</t>
  </si>
  <si>
    <t>2006-116</t>
  </si>
  <si>
    <t>Brewer Water Department</t>
  </si>
  <si>
    <t>2008-377</t>
  </si>
  <si>
    <t>Bridgton Water District</t>
  </si>
  <si>
    <t>2003-696</t>
  </si>
  <si>
    <t>Brownville Water Department</t>
  </si>
  <si>
    <t>1998-817</t>
  </si>
  <si>
    <t>Brunswick &amp; Topsham Water District</t>
  </si>
  <si>
    <t>2009-059</t>
  </si>
  <si>
    <t>Buckfield Village Corp (equivalent dwelling units)</t>
  </si>
  <si>
    <t>2006-366</t>
  </si>
  <si>
    <t>Calais Water Department</t>
  </si>
  <si>
    <t>2005-452</t>
  </si>
  <si>
    <t>Canton Water District</t>
  </si>
  <si>
    <t>2009-047</t>
  </si>
  <si>
    <t>Caribou Utilities District</t>
  </si>
  <si>
    <t>2009-354</t>
  </si>
  <si>
    <t>Castine Water District</t>
  </si>
  <si>
    <t>2007-341</t>
  </si>
  <si>
    <t>Clinton Water District</t>
  </si>
  <si>
    <t>2007-046</t>
  </si>
  <si>
    <t>Corinna Water District</t>
  </si>
  <si>
    <t>2005-012</t>
  </si>
  <si>
    <t>Cornish Water District</t>
  </si>
  <si>
    <t>2003-251</t>
  </si>
  <si>
    <t>Danforth Water District</t>
  </si>
  <si>
    <t>2008-268</t>
  </si>
  <si>
    <t>Deer Isle Consumer Owned Water Utility</t>
  </si>
  <si>
    <t>2005-182</t>
  </si>
  <si>
    <t>Dexter Utility District</t>
  </si>
  <si>
    <t>2009-353</t>
  </si>
  <si>
    <t>Dixfield Water Department</t>
  </si>
  <si>
    <t>2008-157</t>
  </si>
  <si>
    <t>Dover &amp; Foxcroft Water District</t>
  </si>
  <si>
    <t>2009-267</t>
  </si>
  <si>
    <t>Dresden Water Department</t>
  </si>
  <si>
    <t>1997-296</t>
  </si>
  <si>
    <t>Eagle Lake Water &amp; Sewer District</t>
  </si>
  <si>
    <t>2008-417</t>
  </si>
  <si>
    <t>East Millinocket Water District</t>
  </si>
  <si>
    <t>2006-195</t>
  </si>
  <si>
    <t>East Pittston Water District</t>
  </si>
  <si>
    <t>1993-198</t>
  </si>
  <si>
    <t>East Vassalboro Water System</t>
  </si>
  <si>
    <t>1994-156</t>
  </si>
  <si>
    <t>Ellsworth Water Department</t>
  </si>
  <si>
    <t>2008-339</t>
  </si>
  <si>
    <t>Eustis Water Department</t>
  </si>
  <si>
    <t>2000-724</t>
  </si>
  <si>
    <t>Exeter Water Department</t>
  </si>
  <si>
    <t>1995-447</t>
  </si>
  <si>
    <t>Farmington Falls Standard Water District</t>
  </si>
  <si>
    <t>2009-352</t>
  </si>
  <si>
    <t>Farmington Village Corp.</t>
  </si>
  <si>
    <t>2008-376</t>
  </si>
  <si>
    <t>Fort Fairfield Utilities District</t>
  </si>
  <si>
    <t>2004-717</t>
  </si>
  <si>
    <t>Fort Kent Utilities District</t>
  </si>
  <si>
    <t>2001-801</t>
  </si>
  <si>
    <t>Franklin Water Department</t>
  </si>
  <si>
    <t>2005-255</t>
  </si>
  <si>
    <t>Friendship Water Department</t>
  </si>
  <si>
    <t>2008-457</t>
  </si>
  <si>
    <t>Fryeburg Water Company</t>
  </si>
  <si>
    <t>2008-489</t>
  </si>
  <si>
    <t>Gardiner Water District</t>
  </si>
  <si>
    <t>2007-301</t>
  </si>
  <si>
    <t>Grand Isle Water Department</t>
  </si>
  <si>
    <t>2001-667</t>
  </si>
  <si>
    <t>Gray Water District</t>
  </si>
  <si>
    <t>2009-324</t>
  </si>
  <si>
    <t>Great Salt Bay Sanitary District</t>
  </si>
  <si>
    <t>2008-419</t>
  </si>
  <si>
    <t>Guilford-Sangerville Water District</t>
  </si>
  <si>
    <t>2006-223</t>
  </si>
  <si>
    <t>Hallowell Water District</t>
  </si>
  <si>
    <t>2008-257</t>
  </si>
  <si>
    <t>Hampden Water District</t>
  </si>
  <si>
    <t>2007-438</t>
  </si>
  <si>
    <t>Harrison Water District</t>
  </si>
  <si>
    <t>2006-317</t>
  </si>
  <si>
    <t>Hebron Water Company</t>
  </si>
  <si>
    <t>1998-390</t>
  </si>
  <si>
    <t>Houlton Water Company</t>
  </si>
  <si>
    <t>1997-898</t>
  </si>
  <si>
    <t>Howland Water Department</t>
  </si>
  <si>
    <t>2005-667</t>
  </si>
  <si>
    <t>Island Falls Water Department</t>
  </si>
  <si>
    <t>2009-218</t>
  </si>
  <si>
    <t>Jackman Water District</t>
  </si>
  <si>
    <t>1995-233</t>
  </si>
  <si>
    <t>Jay Village Water District</t>
  </si>
  <si>
    <t>2001-789</t>
  </si>
  <si>
    <t>Kennebec Water District</t>
  </si>
  <si>
    <t>2006-572</t>
  </si>
  <si>
    <t>Kennebunk, Kbport.,Wells Water District</t>
  </si>
  <si>
    <t>2008-228</t>
  </si>
  <si>
    <t>Kingfield Water District</t>
  </si>
  <si>
    <t>2004-036</t>
  </si>
  <si>
    <t>Kittery Water District</t>
  </si>
  <si>
    <t>2007-358</t>
  </si>
  <si>
    <t>Lewiston Public Works,Water Division</t>
  </si>
  <si>
    <t>2007-210</t>
  </si>
  <si>
    <t>Limerick Water District</t>
  </si>
  <si>
    <t>1998-326</t>
  </si>
  <si>
    <t>Limestone Water &amp; Sewer District</t>
  </si>
  <si>
    <t>2000-138</t>
  </si>
  <si>
    <t>Lincoln Water District</t>
  </si>
  <si>
    <t>2008-029</t>
  </si>
  <si>
    <t>Lisbon Water Department</t>
  </si>
  <si>
    <t>2005-416</t>
  </si>
  <si>
    <t>Livermore Falls Water District</t>
  </si>
  <si>
    <t>2001-636</t>
  </si>
  <si>
    <t>Long Pond Water District</t>
  </si>
  <si>
    <t>2008-026</t>
  </si>
  <si>
    <t>Lubec Water &amp; Electric District</t>
  </si>
  <si>
    <t>2008-522</t>
  </si>
  <si>
    <t>Machias Water Company</t>
  </si>
  <si>
    <t>2007-612</t>
  </si>
  <si>
    <t>Madawaska Water District</t>
  </si>
  <si>
    <t>2008-399</t>
  </si>
  <si>
    <t>Madison Water District</t>
  </si>
  <si>
    <t>2009-228</t>
  </si>
  <si>
    <t>Mars Hill Utility District</t>
  </si>
  <si>
    <t>2007-004</t>
  </si>
  <si>
    <t>Mechanic Falls Water Department</t>
  </si>
  <si>
    <t>2007-592</t>
  </si>
  <si>
    <t>Mexico Water District</t>
  </si>
  <si>
    <t>2009-290</t>
  </si>
  <si>
    <t>Milbridge Water District</t>
  </si>
  <si>
    <t>2001-833</t>
  </si>
  <si>
    <t>Milo Water District</t>
  </si>
  <si>
    <t>2004-205</t>
  </si>
  <si>
    <t>Monhegan Water Company ( SEASONAL ONLY)</t>
  </si>
  <si>
    <t>2005-080</t>
  </si>
  <si>
    <t>Monson Utilities District</t>
  </si>
  <si>
    <t>2009-134</t>
  </si>
  <si>
    <t>Morrill Village Water District</t>
  </si>
  <si>
    <t>2007-575</t>
  </si>
  <si>
    <t>Moscow Water District</t>
  </si>
  <si>
    <t>2007-530</t>
  </si>
  <si>
    <t>Mount Blue Standard Water District</t>
  </si>
  <si>
    <t>2007-569</t>
  </si>
  <si>
    <t>Mount Desert Water District</t>
  </si>
  <si>
    <t>2003-288</t>
  </si>
  <si>
    <t>New Portland Water District</t>
  </si>
  <si>
    <t>2008-396</t>
  </si>
  <si>
    <t>New Sharon Water District</t>
  </si>
  <si>
    <t>2004-851</t>
  </si>
  <si>
    <t>Newport Water District</t>
  </si>
  <si>
    <t>2009-187</t>
  </si>
  <si>
    <t>Norridgewock Water District</t>
  </si>
  <si>
    <t>2007-588</t>
  </si>
  <si>
    <t>North Berwick Water District</t>
  </si>
  <si>
    <t>1995-381</t>
  </si>
  <si>
    <t>North Haven Water Department</t>
  </si>
  <si>
    <t>2003-287</t>
  </si>
  <si>
    <t>North Jay Water District</t>
  </si>
  <si>
    <t>2006-011</t>
  </si>
  <si>
    <t>Northport Village Corp.</t>
  </si>
  <si>
    <t>2005-398</t>
  </si>
  <si>
    <t>Norway Water District</t>
  </si>
  <si>
    <t>2004-330</t>
  </si>
  <si>
    <t>Old Town Water District</t>
  </si>
  <si>
    <t>2002-619</t>
  </si>
  <si>
    <t>Oquossoc Standard Water District</t>
  </si>
  <si>
    <t>2001-850</t>
  </si>
  <si>
    <t>Orono-Veazie Water District</t>
  </si>
  <si>
    <t>2007-628</t>
  </si>
  <si>
    <t>Oxford Water District</t>
  </si>
  <si>
    <t>1996-508</t>
  </si>
  <si>
    <t>Paris Utilities District</t>
  </si>
  <si>
    <t>2006-225</t>
  </si>
  <si>
    <t>Passamaquoddy Water District</t>
  </si>
  <si>
    <t>2007-338</t>
  </si>
  <si>
    <t>Patten Water Department</t>
  </si>
  <si>
    <t>1992-352</t>
  </si>
  <si>
    <t>Pine Springs Road and Water LLC</t>
  </si>
  <si>
    <t>2006-534</t>
  </si>
  <si>
    <t>Pittsfield Water Works - Town</t>
  </si>
  <si>
    <t>2009-294</t>
  </si>
  <si>
    <t>Plymouth Water District</t>
  </si>
  <si>
    <t>DEP</t>
  </si>
  <si>
    <t>Port Clyde Water District</t>
  </si>
  <si>
    <t>2009-418</t>
  </si>
  <si>
    <t>Portland Water District</t>
  </si>
  <si>
    <t>2008-423</t>
  </si>
  <si>
    <t>Presque Isle Water District</t>
  </si>
  <si>
    <t>2007-306</t>
  </si>
  <si>
    <t>Princeton Water District</t>
  </si>
  <si>
    <t>2009-205</t>
  </si>
  <si>
    <t>Quantabacook Water District</t>
  </si>
  <si>
    <t>2008-388</t>
  </si>
  <si>
    <t>Rangeley Water District</t>
  </si>
  <si>
    <t>2006-571</t>
  </si>
  <si>
    <t>Richmond Utilities District</t>
  </si>
  <si>
    <t>2006-238</t>
  </si>
  <si>
    <t>Rumford Water District</t>
  </si>
  <si>
    <t>2009-247</t>
  </si>
  <si>
    <t>Sabattus Sanitary District</t>
  </si>
  <si>
    <t>2006-380</t>
  </si>
  <si>
    <t>Sandy Point Water Company</t>
  </si>
  <si>
    <t>2009-270</t>
  </si>
  <si>
    <t>Sanford Water District</t>
  </si>
  <si>
    <t>2007-316</t>
  </si>
  <si>
    <t>Searsport Water District</t>
  </si>
  <si>
    <t>2009-364</t>
  </si>
  <si>
    <t>Small Point Water Company</t>
  </si>
  <si>
    <t>2002-714</t>
  </si>
  <si>
    <t>Solon Water District</t>
  </si>
  <si>
    <t>2007-199</t>
  </si>
  <si>
    <t>South Berwick Water District</t>
  </si>
  <si>
    <t>2005-188</t>
  </si>
  <si>
    <t>South Freeport Water District</t>
  </si>
  <si>
    <t>2003-455</t>
  </si>
  <si>
    <t>Southport Water System (SEASONAL ONLY) Min 2400 cf</t>
  </si>
  <si>
    <t>2005-027</t>
  </si>
  <si>
    <t>Southwest Harbor Water Dept.</t>
  </si>
  <si>
    <t>2004-333</t>
  </si>
  <si>
    <t>St. Francis Water District</t>
  </si>
  <si>
    <t>2005-115</t>
  </si>
  <si>
    <t>Starks Water District</t>
  </si>
  <si>
    <t>1998-328</t>
  </si>
  <si>
    <t>Stonington Water Company</t>
  </si>
  <si>
    <t>2005-609</t>
  </si>
  <si>
    <t>Strong Water District</t>
  </si>
  <si>
    <t>2009-348</t>
  </si>
  <si>
    <t>Tenants Harbor Water District</t>
  </si>
  <si>
    <t>2002-170</t>
  </si>
  <si>
    <t>Van Buren Water District</t>
  </si>
  <si>
    <t>2006-347</t>
  </si>
  <si>
    <t>Vinalhaven Water District</t>
  </si>
  <si>
    <t>2006-145</t>
  </si>
  <si>
    <t>Waldoboro Water Department</t>
  </si>
  <si>
    <t>2004-622</t>
  </si>
  <si>
    <t>Washburn Water Department</t>
  </si>
  <si>
    <t>2006-618</t>
  </si>
  <si>
    <t>Waterboro Water Department</t>
  </si>
  <si>
    <t>N/A</t>
  </si>
  <si>
    <t>West Paris Water District</t>
  </si>
  <si>
    <t>2005-256</t>
  </si>
  <si>
    <t>Wilton Water Department</t>
  </si>
  <si>
    <t>1993-094</t>
  </si>
  <si>
    <t>Winter Harbor Water District</t>
  </si>
  <si>
    <t>1998-966</t>
  </si>
  <si>
    <t>Winterport Water District</t>
  </si>
  <si>
    <t>2005-417</t>
  </si>
  <si>
    <t>Winthrop Water District</t>
  </si>
  <si>
    <t>2004-727</t>
  </si>
  <si>
    <t>Wiscasset Water District</t>
  </si>
  <si>
    <t>2006-352</t>
  </si>
  <si>
    <t>Yarmouth Water District</t>
  </si>
  <si>
    <t>2005-342</t>
  </si>
  <si>
    <t>York Water District</t>
  </si>
  <si>
    <t>2008-039</t>
  </si>
  <si>
    <t>Annual Water Rates (1200cuft)</t>
  </si>
  <si>
    <t>Last Rate Adjustment Date</t>
  </si>
  <si>
    <t>Washington</t>
  </si>
  <si>
    <t>Low/Mod</t>
  </si>
  <si>
    <t>Aroostook</t>
  </si>
  <si>
    <t>Non Entitled Local Government Low Mod Estimates Maine</t>
  </si>
  <si>
    <t>SUMLEVEL</t>
  </si>
  <si>
    <t>GROUP</t>
  </si>
  <si>
    <t>STUSAB</t>
  </si>
  <si>
    <t>COUNTY</t>
  </si>
  <si>
    <t>COUNTYNAME</t>
  </si>
  <si>
    <t>COUSUBNAME</t>
  </si>
  <si>
    <t>PLACE</t>
  </si>
  <si>
    <t>PLACENAME</t>
  </si>
  <si>
    <t>MSACMSA</t>
  </si>
  <si>
    <t>CMSA</t>
  </si>
  <si>
    <t>PMSA</t>
  </si>
  <si>
    <t>MA</t>
  </si>
  <si>
    <t>MANAME</t>
  </si>
  <si>
    <t>POP100</t>
  </si>
  <si>
    <t>HU100</t>
  </si>
  <si>
    <t>FAMMOD</t>
  </si>
  <si>
    <t>FAMLOW</t>
  </si>
  <si>
    <t>FAMVLOW</t>
  </si>
  <si>
    <t>NFAMMOD</t>
  </si>
  <si>
    <t>NFAMLOW</t>
  </si>
  <si>
    <t>NFAMVLOW</t>
  </si>
  <si>
    <t>HHMOD</t>
  </si>
  <si>
    <t>HHLOW</t>
  </si>
  <si>
    <t>HHVLOW</t>
  </si>
  <si>
    <t>FAMPMOD</t>
  </si>
  <si>
    <t>FAMPLOW</t>
  </si>
  <si>
    <t>FAMPVLOW</t>
  </si>
  <si>
    <t>NFAMPMOD</t>
  </si>
  <si>
    <t>NFAMPLOW</t>
  </si>
  <si>
    <t>NFAMPVLOW</t>
  </si>
  <si>
    <t>PMOD</t>
  </si>
  <si>
    <t>PLOW</t>
  </si>
  <si>
    <t>PVLOW</t>
  </si>
  <si>
    <t>LOWMOD</t>
  </si>
  <si>
    <t>LOWMODUNIV</t>
  </si>
  <si>
    <t>LOWMODPCT</t>
  </si>
  <si>
    <t>1</t>
  </si>
  <si>
    <t>23</t>
  </si>
  <si>
    <t>001</t>
  </si>
  <si>
    <t>Androscoggin County</t>
  </si>
  <si>
    <t/>
  </si>
  <si>
    <t>4240</t>
  </si>
  <si>
    <t>99</t>
  </si>
  <si>
    <t>9999</t>
  </si>
  <si>
    <t>L/A MSA</t>
  </si>
  <si>
    <t>003</t>
  </si>
  <si>
    <t>Aroostook County</t>
  </si>
  <si>
    <t>005</t>
  </si>
  <si>
    <t>Cumberland County</t>
  </si>
  <si>
    <t>007</t>
  </si>
  <si>
    <t>Franklin County</t>
  </si>
  <si>
    <t>009</t>
  </si>
  <si>
    <t>Hancock County</t>
  </si>
  <si>
    <t>011</t>
  </si>
  <si>
    <t>Kennebec County</t>
  </si>
  <si>
    <t>013</t>
  </si>
  <si>
    <t>Knox County</t>
  </si>
  <si>
    <t>015</t>
  </si>
  <si>
    <t>Lincoln County</t>
  </si>
  <si>
    <t>017</t>
  </si>
  <si>
    <t>Oxford County</t>
  </si>
  <si>
    <t>019</t>
  </si>
  <si>
    <t>Penobscot County</t>
  </si>
  <si>
    <t>0730</t>
  </si>
  <si>
    <t>BANGOR MSA</t>
  </si>
  <si>
    <t>021</t>
  </si>
  <si>
    <t>Piscataquis County</t>
  </si>
  <si>
    <t>023</t>
  </si>
  <si>
    <t>Sagadahoc County</t>
  </si>
  <si>
    <t>025</t>
  </si>
  <si>
    <t>Somerset County</t>
  </si>
  <si>
    <t>027</t>
  </si>
  <si>
    <t>Waldo County</t>
  </si>
  <si>
    <t>029</t>
  </si>
  <si>
    <t>Washington County</t>
  </si>
  <si>
    <t>031</t>
  </si>
  <si>
    <t>York County</t>
  </si>
  <si>
    <t>2</t>
  </si>
  <si>
    <t>01360</t>
  </si>
  <si>
    <t>Anson CDP</t>
  </si>
  <si>
    <t>02100</t>
  </si>
  <si>
    <t>Augusta city</t>
  </si>
  <si>
    <t>02830</t>
  </si>
  <si>
    <t>Bar Harbor CDP</t>
  </si>
  <si>
    <t>03355</t>
  </si>
  <si>
    <t>Bath city</t>
  </si>
  <si>
    <t>03950</t>
  </si>
  <si>
    <t>Belfast city</t>
  </si>
  <si>
    <t>04685</t>
  </si>
  <si>
    <t>Berwick CDP</t>
  </si>
  <si>
    <t>1122</t>
  </si>
  <si>
    <t>07</t>
  </si>
  <si>
    <t>6450</t>
  </si>
  <si>
    <t>PORT--ROCH NH-ME</t>
  </si>
  <si>
    <t>04860</t>
  </si>
  <si>
    <t>Biddeford city</t>
  </si>
  <si>
    <t>04965</t>
  </si>
  <si>
    <t>Bingham CDP</t>
  </si>
  <si>
    <t>06085</t>
  </si>
  <si>
    <t>Boothbay Harbor CDP</t>
  </si>
  <si>
    <t>06925</t>
  </si>
  <si>
    <t>Brewer city</t>
  </si>
  <si>
    <t>07135</t>
  </si>
  <si>
    <t>Bridgton CDP</t>
  </si>
  <si>
    <t>08395</t>
  </si>
  <si>
    <t>Brunswick CDP</t>
  </si>
  <si>
    <t>08500</t>
  </si>
  <si>
    <t>Brunswick Station CDP</t>
  </si>
  <si>
    <t>08780</t>
  </si>
  <si>
    <t>Bucksport CDP</t>
  </si>
  <si>
    <t>09585</t>
  </si>
  <si>
    <t>Calais city</t>
  </si>
  <si>
    <t>09690</t>
  </si>
  <si>
    <t>Camden CDP</t>
  </si>
  <si>
    <t>10320</t>
  </si>
  <si>
    <t>Cape Neddick CDP</t>
  </si>
  <si>
    <t>10565</t>
  </si>
  <si>
    <t>Caribou city</t>
  </si>
  <si>
    <t>12770</t>
  </si>
  <si>
    <t>Chisholm CDP</t>
  </si>
  <si>
    <t>13435</t>
  </si>
  <si>
    <t>Clinton CDP</t>
  </si>
  <si>
    <t>15500</t>
  </si>
  <si>
    <t>Cumberland Center CDP</t>
  </si>
  <si>
    <t>6400</t>
  </si>
  <si>
    <t>PORTLAND MSA</t>
  </si>
  <si>
    <t>16322</t>
  </si>
  <si>
    <t>Damariscotta-Newcastle C</t>
  </si>
  <si>
    <t>17495</t>
  </si>
  <si>
    <t>Dexter CDP</t>
  </si>
  <si>
    <t>17705</t>
  </si>
  <si>
    <t>Dixfield CDP</t>
  </si>
  <si>
    <t>18230</t>
  </si>
  <si>
    <t>Dover-Foxcroft CDP</t>
  </si>
  <si>
    <t>21065</t>
  </si>
  <si>
    <t>East Millinocket CDP</t>
  </si>
  <si>
    <t>21730</t>
  </si>
  <si>
    <t>Eastport city</t>
  </si>
  <si>
    <t>23200</t>
  </si>
  <si>
    <t>Ellsworth city</t>
  </si>
  <si>
    <t>24285</t>
  </si>
  <si>
    <t>Fairfield CDP</t>
  </si>
  <si>
    <t>24530</t>
  </si>
  <si>
    <t>Falmouth Foreside CDP</t>
  </si>
  <si>
    <t>24635</t>
  </si>
  <si>
    <t>Farmingdale CDP</t>
  </si>
  <si>
    <t>24740</t>
  </si>
  <si>
    <t>Farmington CDP</t>
  </si>
  <si>
    <t>25580</t>
  </si>
  <si>
    <t>Fort Fairfield CDP</t>
  </si>
  <si>
    <t>25720</t>
  </si>
  <si>
    <t>Fort Kent CDP</t>
  </si>
  <si>
    <t>26490</t>
  </si>
  <si>
    <t>Freeport CDP</t>
  </si>
  <si>
    <t>26875</t>
  </si>
  <si>
    <t>Fryeburg CDP</t>
  </si>
  <si>
    <t>27085</t>
  </si>
  <si>
    <t>Gardiner city</t>
  </si>
  <si>
    <t>28205</t>
  </si>
  <si>
    <t>Gorham CDP</t>
  </si>
  <si>
    <t>29500</t>
  </si>
  <si>
    <t>Greenville CDP</t>
  </si>
  <si>
    <t>30060</t>
  </si>
  <si>
    <t>Guilford CDP</t>
  </si>
  <si>
    <t>30550</t>
  </si>
  <si>
    <t>Hallowell city</t>
  </si>
  <si>
    <t>30760</t>
  </si>
  <si>
    <t>Hampden CDP</t>
  </si>
  <si>
    <t>31705</t>
  </si>
  <si>
    <t>Hartland CDP</t>
  </si>
  <si>
    <t>33945</t>
  </si>
  <si>
    <t>Houlton CDP</t>
  </si>
  <si>
    <t>34225</t>
  </si>
  <si>
    <t>Howland CDP</t>
  </si>
  <si>
    <t>36500</t>
  </si>
  <si>
    <t>Kennebunk CDP</t>
  </si>
  <si>
    <t>36710</t>
  </si>
  <si>
    <t>Kennebunkport CDP</t>
  </si>
  <si>
    <t>37235</t>
  </si>
  <si>
    <t>Kittery CDP</t>
  </si>
  <si>
    <t>37375</t>
  </si>
  <si>
    <t>Kittery Point CDP</t>
  </si>
  <si>
    <t>37795</t>
  </si>
  <si>
    <t>Lake Arrowhead CDP</t>
  </si>
  <si>
    <t>39265</t>
  </si>
  <si>
    <t>Limestone CDP</t>
  </si>
  <si>
    <t>Lincoln CDP</t>
  </si>
  <si>
    <t>40105</t>
  </si>
  <si>
    <t>Lisbon Falls CDP</t>
  </si>
  <si>
    <t>40367</t>
  </si>
  <si>
    <t>Little Falls-South Windh</t>
  </si>
  <si>
    <t>40735</t>
  </si>
  <si>
    <t>Livermore Falls CDP</t>
  </si>
  <si>
    <t>41260</t>
  </si>
  <si>
    <t>Loring AFB CDP</t>
  </si>
  <si>
    <t>41925</t>
  </si>
  <si>
    <t>Machias CDP</t>
  </si>
  <si>
    <t>42485</t>
  </si>
  <si>
    <t>Madawaska CDP</t>
  </si>
  <si>
    <t>42625</t>
  </si>
  <si>
    <t>Madison CDP</t>
  </si>
  <si>
    <t>43745</t>
  </si>
  <si>
    <t>Mars Hill-Blaine CDP</t>
  </si>
  <si>
    <t>44620</t>
  </si>
  <si>
    <t>Mechanic Falls CDP</t>
  </si>
  <si>
    <t>45250</t>
  </si>
  <si>
    <t>Mexico CDP</t>
  </si>
  <si>
    <t>45635</t>
  </si>
  <si>
    <t>Milford CDP</t>
  </si>
  <si>
    <t>45845</t>
  </si>
  <si>
    <t>Millinocket CDP</t>
  </si>
  <si>
    <t>45985</t>
  </si>
  <si>
    <t>Milo CDP</t>
  </si>
  <si>
    <t>49100</t>
  </si>
  <si>
    <t>Newport CDP</t>
  </si>
  <si>
    <t>49800</t>
  </si>
  <si>
    <t>Norridgewock CDP</t>
  </si>
  <si>
    <t>50290</t>
  </si>
  <si>
    <t>North Berwick CDP</t>
  </si>
  <si>
    <t>53685</t>
  </si>
  <si>
    <t>North Windham CDP</t>
  </si>
  <si>
    <t>53965</t>
  </si>
  <si>
    <t>Norway CDP</t>
  </si>
  <si>
    <t>54525</t>
  </si>
  <si>
    <t>Oakland CDP</t>
  </si>
  <si>
    <t>55120</t>
  </si>
  <si>
    <t>Old Orchard Beach CDP</t>
  </si>
  <si>
    <t>55225</t>
  </si>
  <si>
    <t>Old Town city</t>
  </si>
  <si>
    <t>55575</t>
  </si>
  <si>
    <t>Orono CDP</t>
  </si>
  <si>
    <t>56240</t>
  </si>
  <si>
    <t>Oxford CDP</t>
  </si>
  <si>
    <t>58970</t>
  </si>
  <si>
    <t>Pittsfield CDP</t>
  </si>
  <si>
    <t>60825</t>
  </si>
  <si>
    <t>Presque Isle city</t>
  </si>
  <si>
    <t>61735</t>
  </si>
  <si>
    <t>Randolph CDP</t>
  </si>
  <si>
    <t>62610</t>
  </si>
  <si>
    <t>Richmond CDP</t>
  </si>
  <si>
    <t>63590</t>
  </si>
  <si>
    <t>Rockland city</t>
  </si>
  <si>
    <t>64255</t>
  </si>
  <si>
    <t>Rumford CDP</t>
  </si>
  <si>
    <t>64675</t>
  </si>
  <si>
    <t>Saco city</t>
  </si>
  <si>
    <t>65725</t>
  </si>
  <si>
    <t>Sanford CDP</t>
  </si>
  <si>
    <t>66110</t>
  </si>
  <si>
    <t>Scarborough CDP</t>
  </si>
  <si>
    <t>66600</t>
  </si>
  <si>
    <t>Searsport CDP</t>
  </si>
  <si>
    <t>68875</t>
  </si>
  <si>
    <t>Skowhegan CDP</t>
  </si>
  <si>
    <t>70660</t>
  </si>
  <si>
    <t>South Eliot CDP</t>
  </si>
  <si>
    <t>71780</t>
  </si>
  <si>
    <t>South Paris CDP</t>
  </si>
  <si>
    <t>71990</t>
  </si>
  <si>
    <t>South Portland city</t>
  </si>
  <si>
    <t>72200</t>
  </si>
  <si>
    <t>South Sanford CDP</t>
  </si>
  <si>
    <t>73285</t>
  </si>
  <si>
    <t>Springvale CDP</t>
  </si>
  <si>
    <t>76330</t>
  </si>
  <si>
    <t>Thomaston CDP</t>
  </si>
  <si>
    <t>76925</t>
  </si>
  <si>
    <t>Topsham CDP</t>
  </si>
  <si>
    <t>78220</t>
  </si>
  <si>
    <t>Unity CDP</t>
  </si>
  <si>
    <t>78535</t>
  </si>
  <si>
    <t>Van Buren CDP</t>
  </si>
  <si>
    <t>79515</t>
  </si>
  <si>
    <t>Waldoboro CDP</t>
  </si>
  <si>
    <t>80740</t>
  </si>
  <si>
    <t>Waterville city</t>
  </si>
  <si>
    <t>82105</t>
  </si>
  <si>
    <t>Westbrook city</t>
  </si>
  <si>
    <t>83330</t>
  </si>
  <si>
    <t>West Kennebunk CDP</t>
  </si>
  <si>
    <t>85815</t>
  </si>
  <si>
    <t>Wilton CDP</t>
  </si>
  <si>
    <t>86480</t>
  </si>
  <si>
    <t>Winslow CDP</t>
  </si>
  <si>
    <t>86725</t>
  </si>
  <si>
    <t>Winterport CDP</t>
  </si>
  <si>
    <t>86935</t>
  </si>
  <si>
    <t>Winthrop CDP</t>
  </si>
  <si>
    <t>87040</t>
  </si>
  <si>
    <t>Wiscasset CDP</t>
  </si>
  <si>
    <t>87250</t>
  </si>
  <si>
    <t>Woodland CDP</t>
  </si>
  <si>
    <t>87810</t>
  </si>
  <si>
    <t>Yarmouth CDP</t>
  </si>
  <si>
    <t>88160</t>
  </si>
  <si>
    <t>York Harbor CDP</t>
  </si>
  <si>
    <t>MINOR CIVIL DIVISION</t>
  </si>
  <si>
    <t>3</t>
  </si>
  <si>
    <t>Durham town</t>
  </si>
  <si>
    <t>Greene town</t>
  </si>
  <si>
    <t>Leeds town</t>
  </si>
  <si>
    <t>Lisbon town</t>
  </si>
  <si>
    <t>Livermore town</t>
  </si>
  <si>
    <t>Livermore Falls town</t>
  </si>
  <si>
    <t>Mechanic Falls town</t>
  </si>
  <si>
    <t>Minot town</t>
  </si>
  <si>
    <t>Poland town</t>
  </si>
  <si>
    <t>Sabattus town</t>
  </si>
  <si>
    <t>Turner town</t>
  </si>
  <si>
    <t>Wales town</t>
  </si>
  <si>
    <t>Allagash town</t>
  </si>
  <si>
    <t>Amity town</t>
  </si>
  <si>
    <t>Ashland town</t>
  </si>
  <si>
    <t>Bancroft town</t>
  </si>
  <si>
    <t>Blaine town</t>
  </si>
  <si>
    <t>Bridgewater town</t>
  </si>
  <si>
    <t>Cary plantation</t>
  </si>
  <si>
    <t>Castle Hill town</t>
  </si>
  <si>
    <t>Caswell town</t>
  </si>
  <si>
    <t>Central Aroostook UT</t>
  </si>
  <si>
    <t>Chapman town</t>
  </si>
  <si>
    <t>Connor UT</t>
  </si>
  <si>
    <t>Crystal town</t>
  </si>
  <si>
    <t>Cyr plantation</t>
  </si>
  <si>
    <t>Dyer Brook town</t>
  </si>
  <si>
    <t>Eagle Lake town</t>
  </si>
  <si>
    <t>Easton town</t>
  </si>
  <si>
    <t>Fort Fairfield town</t>
  </si>
  <si>
    <t>Fort Kent town</t>
  </si>
  <si>
    <t>Frenchville town</t>
  </si>
  <si>
    <t>Garfield plantation</t>
  </si>
  <si>
    <t>Glenwood plantation</t>
  </si>
  <si>
    <t>Grand Isle town</t>
  </si>
  <si>
    <t>Hamlin town</t>
  </si>
  <si>
    <t>Hammond town</t>
  </si>
  <si>
    <t>Haynesville town</t>
  </si>
  <si>
    <t>Hersey town</t>
  </si>
  <si>
    <t>Hodgdon town</t>
  </si>
  <si>
    <t>Houlton town</t>
  </si>
  <si>
    <t>Island Falls town</t>
  </si>
  <si>
    <t>Limestone town</t>
  </si>
  <si>
    <t>Linneus town</t>
  </si>
  <si>
    <t>Littleton town</t>
  </si>
  <si>
    <t>Ludlow town</t>
  </si>
  <si>
    <t>Macwahoc plantation</t>
  </si>
  <si>
    <t>Madawaska town</t>
  </si>
  <si>
    <t>Mapleton town</t>
  </si>
  <si>
    <t>Mars Hill town</t>
  </si>
  <si>
    <t>Masardis town</t>
  </si>
  <si>
    <t>Merrill town</t>
  </si>
  <si>
    <t>Monticello town</t>
  </si>
  <si>
    <t>Moro plantation</t>
  </si>
  <si>
    <t>Nashville plantation</t>
  </si>
  <si>
    <t>New Canada town</t>
  </si>
  <si>
    <t>New Limerick town</t>
  </si>
  <si>
    <t>New Sweden town</t>
  </si>
  <si>
    <t>Northwest Aroostook UT</t>
  </si>
  <si>
    <t>Oakfield town</t>
  </si>
  <si>
    <t>Orient town</t>
  </si>
  <si>
    <t>Oxbow plantation</t>
  </si>
  <si>
    <t>Penobscot Indian Island</t>
  </si>
  <si>
    <t>Perham town</t>
  </si>
  <si>
    <t>Portage Lake town</t>
  </si>
  <si>
    <t>Reed plantation</t>
  </si>
  <si>
    <t>St. Agatha town</t>
  </si>
  <si>
    <t>St. Francis town</t>
  </si>
  <si>
    <t>St. John plantation</t>
  </si>
  <si>
    <t>Sherman town</t>
  </si>
  <si>
    <t>Smyrna town</t>
  </si>
  <si>
    <t>South Aroostook UT</t>
  </si>
  <si>
    <t>Square Lake UT</t>
  </si>
  <si>
    <t>Stockholm town</t>
  </si>
  <si>
    <t>Van Buren town</t>
  </si>
  <si>
    <t>Wade town</t>
  </si>
  <si>
    <t>Wallagrass town</t>
  </si>
  <si>
    <t>Washburn town</t>
  </si>
  <si>
    <t>Westfield town</t>
  </si>
  <si>
    <t>Westmanland town</t>
  </si>
  <si>
    <t>Weston town</t>
  </si>
  <si>
    <t>Winterville plantation</t>
  </si>
  <si>
    <t>Woodland town</t>
  </si>
  <si>
    <t>Baldwin town</t>
  </si>
  <si>
    <t>Bridgton town</t>
  </si>
  <si>
    <t>Brunswick town</t>
  </si>
  <si>
    <t>Cape Elizabeth town</t>
  </si>
  <si>
    <t>Casco town</t>
  </si>
  <si>
    <t>Cumberland town</t>
  </si>
  <si>
    <t>Falmouth town</t>
  </si>
  <si>
    <t>Freeport town</t>
  </si>
  <si>
    <t>Frye Island town</t>
  </si>
  <si>
    <t>Gorham town</t>
  </si>
  <si>
    <t>Gray town</t>
  </si>
  <si>
    <t>Harpswell town</t>
  </si>
  <si>
    <t>Harrison town</t>
  </si>
  <si>
    <t>Long Island town</t>
  </si>
  <si>
    <t>Naples town</t>
  </si>
  <si>
    <t>New Gloucester town</t>
  </si>
  <si>
    <t>North Yarmouth town</t>
  </si>
  <si>
    <t>Pownal town</t>
  </si>
  <si>
    <t>Raymond town</t>
  </si>
  <si>
    <t>Scarborough town</t>
  </si>
  <si>
    <t>Sebago town</t>
  </si>
  <si>
    <t>Standish town</t>
  </si>
  <si>
    <t>Windham town</t>
  </si>
  <si>
    <t>Yarmouth town</t>
  </si>
  <si>
    <t>Avon town</t>
  </si>
  <si>
    <t>Carrabassett Valley town</t>
  </si>
  <si>
    <t>Carthage town</t>
  </si>
  <si>
    <t>Chesterville town</t>
  </si>
  <si>
    <t>Coplin plantation</t>
  </si>
  <si>
    <t>Dallas plantation</t>
  </si>
  <si>
    <t>East Central Franklin UT</t>
  </si>
  <si>
    <t>Eustis town</t>
  </si>
  <si>
    <t>Farmington town</t>
  </si>
  <si>
    <t>Industry town</t>
  </si>
  <si>
    <t>Jay town</t>
  </si>
  <si>
    <t>Kingfield town</t>
  </si>
  <si>
    <t>Madrid town</t>
  </si>
  <si>
    <t>New Sharon town</t>
  </si>
  <si>
    <t>New Vineyard town</t>
  </si>
  <si>
    <t>North Franklin UT</t>
  </si>
  <si>
    <t>Phillips town</t>
  </si>
  <si>
    <t>Rangeley town</t>
  </si>
  <si>
    <t>Rangeley plantation</t>
  </si>
  <si>
    <t>Sandy River plantation</t>
  </si>
  <si>
    <t>South Franklin UT</t>
  </si>
  <si>
    <t>Strong town</t>
  </si>
  <si>
    <t>Temple town</t>
  </si>
  <si>
    <t>Weld town</t>
  </si>
  <si>
    <t>West Central Franklin UT</t>
  </si>
  <si>
    <t>Wilton town</t>
  </si>
  <si>
    <t>Wyman UT</t>
  </si>
  <si>
    <t>Amherst town</t>
  </si>
  <si>
    <t>Aurora town</t>
  </si>
  <si>
    <t>Bar Harbor town</t>
  </si>
  <si>
    <t>Blue Hill town</t>
  </si>
  <si>
    <t>Brooklin town</t>
  </si>
  <si>
    <t>Brooksville town</t>
  </si>
  <si>
    <t>Bucksport town</t>
  </si>
  <si>
    <t>Castine town</t>
  </si>
  <si>
    <t>Central Hancock UT</t>
  </si>
  <si>
    <t>Cranberry Isles town</t>
  </si>
  <si>
    <t>Dedham town</t>
  </si>
  <si>
    <t>Deer Isle town</t>
  </si>
  <si>
    <t>Eastbrook town</t>
  </si>
  <si>
    <t>East Hancock UT</t>
  </si>
  <si>
    <t>Franklin town</t>
  </si>
  <si>
    <t>Frenchboro town</t>
  </si>
  <si>
    <t>Gouldsboro town</t>
  </si>
  <si>
    <t>Great Pond town</t>
  </si>
  <si>
    <t>Hancock town</t>
  </si>
  <si>
    <t>Lamoine town</t>
  </si>
  <si>
    <t>Mariaville town</t>
  </si>
  <si>
    <t>Mount Desert town</t>
  </si>
  <si>
    <t>Northwest Hancock UT</t>
  </si>
  <si>
    <t>Orland town</t>
  </si>
  <si>
    <t>Osborn town</t>
  </si>
  <si>
    <t>Otis town</t>
  </si>
  <si>
    <t>Penobscot town</t>
  </si>
  <si>
    <t>Sedgwick town</t>
  </si>
  <si>
    <t>Sorrento town</t>
  </si>
  <si>
    <t>Southwest Harbor town</t>
  </si>
  <si>
    <t>Stonington town</t>
  </si>
  <si>
    <t>Sullivan town</t>
  </si>
  <si>
    <t>Surry town</t>
  </si>
  <si>
    <t>Swans Island town</t>
  </si>
  <si>
    <t>Tremont town</t>
  </si>
  <si>
    <t>Trenton town</t>
  </si>
  <si>
    <t>Verona town</t>
  </si>
  <si>
    <t>Waltham town</t>
  </si>
  <si>
    <t>Winter Harbor town</t>
  </si>
  <si>
    <t>Albion town</t>
  </si>
  <si>
    <t>Belgrade town</t>
  </si>
  <si>
    <t>Benton town</t>
  </si>
  <si>
    <t>Chelsea town</t>
  </si>
  <si>
    <t>China town</t>
  </si>
  <si>
    <t>Clinton town</t>
  </si>
  <si>
    <t>Farmingdale town</t>
  </si>
  <si>
    <t>Fayette town</t>
  </si>
  <si>
    <t>Litchfield town</t>
  </si>
  <si>
    <t>Manchester town</t>
  </si>
  <si>
    <t>Monmouth town</t>
  </si>
  <si>
    <t>Mount Vernon town</t>
  </si>
  <si>
    <t>Oakland town</t>
  </si>
  <si>
    <t>Pittston town</t>
  </si>
  <si>
    <t>Randolph town</t>
  </si>
  <si>
    <t>Readfield town</t>
  </si>
  <si>
    <t>Rome town</t>
  </si>
  <si>
    <t>Sidney town</t>
  </si>
  <si>
    <t>Unity UT</t>
  </si>
  <si>
    <t>Vassalboro town</t>
  </si>
  <si>
    <t>Vienna town</t>
  </si>
  <si>
    <t>Wayne town</t>
  </si>
  <si>
    <t>West Gardiner town</t>
  </si>
  <si>
    <t>Windsor town</t>
  </si>
  <si>
    <t>Winslow town</t>
  </si>
  <si>
    <t>Winthrop town</t>
  </si>
  <si>
    <t>Appleton town</t>
  </si>
  <si>
    <t>Camden town</t>
  </si>
  <si>
    <t>Criehaven UT</t>
  </si>
  <si>
    <t>Cushing town</t>
  </si>
  <si>
    <t>Friendship town</t>
  </si>
  <si>
    <t>Hope town</t>
  </si>
  <si>
    <t>Isle au Haut town</t>
  </si>
  <si>
    <t>Matinicus Isle plantatio</t>
  </si>
  <si>
    <t>North Haven town</t>
  </si>
  <si>
    <t>Owls Head town</t>
  </si>
  <si>
    <t>Rockport town</t>
  </si>
  <si>
    <t>St. George town</t>
  </si>
  <si>
    <t>South Thomaston town</t>
  </si>
  <si>
    <t>Thomaston town</t>
  </si>
  <si>
    <t>Union town</t>
  </si>
  <si>
    <t>Vinalhaven town</t>
  </si>
  <si>
    <t>Warren town</t>
  </si>
  <si>
    <t>Washington town</t>
  </si>
  <si>
    <t>Alna town</t>
  </si>
  <si>
    <t>Boothbay town</t>
  </si>
  <si>
    <t>Boothbay Harbor town</t>
  </si>
  <si>
    <t>Bremen town</t>
  </si>
  <si>
    <t>Bristol town</t>
  </si>
  <si>
    <t>Damariscotta town</t>
  </si>
  <si>
    <t>Dresden town</t>
  </si>
  <si>
    <t>Edgecomb town</t>
  </si>
  <si>
    <t>Hibberts gore</t>
  </si>
  <si>
    <t>Jefferson town</t>
  </si>
  <si>
    <t>Monhegan plantation</t>
  </si>
  <si>
    <t>Newcastle town</t>
  </si>
  <si>
    <t>Nobleboro town</t>
  </si>
  <si>
    <t>Somerville town</t>
  </si>
  <si>
    <t>South Bristol town</t>
  </si>
  <si>
    <t>Southport town</t>
  </si>
  <si>
    <t>Waldoboro town</t>
  </si>
  <si>
    <t>Westport town</t>
  </si>
  <si>
    <t>Whitefield town</t>
  </si>
  <si>
    <t>Wiscasset town</t>
  </si>
  <si>
    <t>Andover town</t>
  </si>
  <si>
    <t>Bethel town</t>
  </si>
  <si>
    <t>Brownfield town</t>
  </si>
  <si>
    <t>Buckfield town</t>
  </si>
  <si>
    <t>Byron town</t>
  </si>
  <si>
    <t>Canton town</t>
  </si>
  <si>
    <t>Denmark town</t>
  </si>
  <si>
    <t>Dixfield town</t>
  </si>
  <si>
    <t>Fryeburg town</t>
  </si>
  <si>
    <t>Gilead town</t>
  </si>
  <si>
    <t>Greenwood town</t>
  </si>
  <si>
    <t>Hanover town</t>
  </si>
  <si>
    <t>Hartford town</t>
  </si>
  <si>
    <t>Hebron town</t>
  </si>
  <si>
    <t>Hiram town</t>
  </si>
  <si>
    <t>Lincoln plantation</t>
  </si>
  <si>
    <t>Lovell town</t>
  </si>
  <si>
    <t>Magalloway plantation</t>
  </si>
  <si>
    <t>Mexico town</t>
  </si>
  <si>
    <t>Milton UT</t>
  </si>
  <si>
    <t>Newry town</t>
  </si>
  <si>
    <t>North Oxford UT</t>
  </si>
  <si>
    <t>Norway town</t>
  </si>
  <si>
    <t>Otisfield town</t>
  </si>
  <si>
    <t>Oxford town</t>
  </si>
  <si>
    <t>Paris town</t>
  </si>
  <si>
    <t>Peru town</t>
  </si>
  <si>
    <t>Porter town</t>
  </si>
  <si>
    <t>Roxbury town</t>
  </si>
  <si>
    <t>Rumford town</t>
  </si>
  <si>
    <t>South Oxford UT</t>
  </si>
  <si>
    <t>Stoneham town</t>
  </si>
  <si>
    <t>Stow town</t>
  </si>
  <si>
    <t>Sumner town</t>
  </si>
  <si>
    <t>Sweden town</t>
  </si>
  <si>
    <t>Upton town</t>
  </si>
  <si>
    <t>Waterford town</t>
  </si>
  <si>
    <t>West Paris town</t>
  </si>
  <si>
    <t>Woodstock town</t>
  </si>
  <si>
    <t>Alton town</t>
  </si>
  <si>
    <t>Argyle UT</t>
  </si>
  <si>
    <t>Bradford town</t>
  </si>
  <si>
    <t>Bradley town</t>
  </si>
  <si>
    <t>Burlington town</t>
  </si>
  <si>
    <t>Carmel town</t>
  </si>
  <si>
    <t>Carroll plantation</t>
  </si>
  <si>
    <t>Charleston town</t>
  </si>
  <si>
    <t>Chester town</t>
  </si>
  <si>
    <t>Clifton town</t>
  </si>
  <si>
    <t>Corinna town</t>
  </si>
  <si>
    <t>Corinth town</t>
  </si>
  <si>
    <t>Dexter town</t>
  </si>
  <si>
    <t>Dixmont town</t>
  </si>
  <si>
    <t>Drew plantation</t>
  </si>
  <si>
    <t>East Central Penobscot U</t>
  </si>
  <si>
    <t>East Millinocket town</t>
  </si>
  <si>
    <t>Eddington town</t>
  </si>
  <si>
    <t>Edinburg town</t>
  </si>
  <si>
    <t>Enfield town</t>
  </si>
  <si>
    <t>Etna town</t>
  </si>
  <si>
    <t>Exeter town</t>
  </si>
  <si>
    <t>Garland town</t>
  </si>
  <si>
    <t>Glenburn town</t>
  </si>
  <si>
    <t>Greenbush town</t>
  </si>
  <si>
    <t>Hampden town</t>
  </si>
  <si>
    <t>Hermon town</t>
  </si>
  <si>
    <t>Holden town</t>
  </si>
  <si>
    <t>Howland town</t>
  </si>
  <si>
    <t>Hudson town</t>
  </si>
  <si>
    <t>Kenduskeag town</t>
  </si>
  <si>
    <t>Kingman UT</t>
  </si>
  <si>
    <t>Lagrange town</t>
  </si>
  <si>
    <t>Lakeville town</t>
  </si>
  <si>
    <t>Lee town</t>
  </si>
  <si>
    <t>Levant town</t>
  </si>
  <si>
    <t>Lincoln town</t>
  </si>
  <si>
    <t>Lowell town</t>
  </si>
  <si>
    <t>Mattawamkeag town</t>
  </si>
  <si>
    <t>Maxfield town</t>
  </si>
  <si>
    <t>Medway town</t>
  </si>
  <si>
    <t>Milford town</t>
  </si>
  <si>
    <t>Millinocket town</t>
  </si>
  <si>
    <t>Mount Chase town</t>
  </si>
  <si>
    <t>Newburgh town</t>
  </si>
  <si>
    <t>Newport town</t>
  </si>
  <si>
    <t>North Penobscot UT</t>
  </si>
  <si>
    <t>Orono town</t>
  </si>
  <si>
    <t>Orrington town</t>
  </si>
  <si>
    <t>Passadumkeag town</t>
  </si>
  <si>
    <t>Patten town</t>
  </si>
  <si>
    <t>Plymouth town</t>
  </si>
  <si>
    <t>Prentiss UT</t>
  </si>
  <si>
    <t>Seboeis plantation</t>
  </si>
  <si>
    <t>Springfield town</t>
  </si>
  <si>
    <t>Stacyville town</t>
  </si>
  <si>
    <t>Stetson town</t>
  </si>
  <si>
    <t>Twombly UT</t>
  </si>
  <si>
    <t>Veazie town</t>
  </si>
  <si>
    <t>Webster plantation</t>
  </si>
  <si>
    <t>Whitney UT</t>
  </si>
  <si>
    <t>Winn town</t>
  </si>
  <si>
    <t>Woodville town</t>
  </si>
  <si>
    <t>Abbot town</t>
  </si>
  <si>
    <t>Atkinson town</t>
  </si>
  <si>
    <t>Beaver Cove town</t>
  </si>
  <si>
    <t>Blanchard UT</t>
  </si>
  <si>
    <t>Bowerbank town</t>
  </si>
  <si>
    <t>Brownville town</t>
  </si>
  <si>
    <t>Dover-Foxcroft town</t>
  </si>
  <si>
    <t>Greenville town</t>
  </si>
  <si>
    <t>Guilford town</t>
  </si>
  <si>
    <t>Kingsbury plantation</t>
  </si>
  <si>
    <t>Lake View plantation</t>
  </si>
  <si>
    <t>Medford town</t>
  </si>
  <si>
    <t>Milo town</t>
  </si>
  <si>
    <t>Monson town</t>
  </si>
  <si>
    <t>Northeast Piscataquis UT</t>
  </si>
  <si>
    <t>Northwest Piscataquis UT</t>
  </si>
  <si>
    <t>Parkman town</t>
  </si>
  <si>
    <t>Sangerville town</t>
  </si>
  <si>
    <t>Sebec town</t>
  </si>
  <si>
    <t>Shirley town</t>
  </si>
  <si>
    <t>Southeast Piscataquis UT</t>
  </si>
  <si>
    <t>Wellington town</t>
  </si>
  <si>
    <t>Willimantic town</t>
  </si>
  <si>
    <t>Arrowsic town</t>
  </si>
  <si>
    <t>Bowdoin town</t>
  </si>
  <si>
    <t>Bowdoinham town</t>
  </si>
  <si>
    <t>Georgetown town</t>
  </si>
  <si>
    <t>Perkins UT</t>
  </si>
  <si>
    <t>Phippsburg town</t>
  </si>
  <si>
    <t>Richmond town</t>
  </si>
  <si>
    <t>Topsham town</t>
  </si>
  <si>
    <t>West Bath town</t>
  </si>
  <si>
    <t>Woolwich town</t>
  </si>
  <si>
    <t>Anson town</t>
  </si>
  <si>
    <t>Athens town</t>
  </si>
  <si>
    <t>Bingham town</t>
  </si>
  <si>
    <t>Brighton plantation</t>
  </si>
  <si>
    <t>Cambridge town</t>
  </si>
  <si>
    <t>Canaan town</t>
  </si>
  <si>
    <t>Caratunk town</t>
  </si>
  <si>
    <t>Central Somerset UT</t>
  </si>
  <si>
    <t>Cornville town</t>
  </si>
  <si>
    <t>Dennistown plantation</t>
  </si>
  <si>
    <t>Detroit town</t>
  </si>
  <si>
    <t>Embden town</t>
  </si>
  <si>
    <t>Fairfield town</t>
  </si>
  <si>
    <t>Harmony town</t>
  </si>
  <si>
    <t>Hartland town</t>
  </si>
  <si>
    <t>Highland plantation</t>
  </si>
  <si>
    <t>Jackman town</t>
  </si>
  <si>
    <t>Madison town</t>
  </si>
  <si>
    <t>Mercer town</t>
  </si>
  <si>
    <t>Moose River town</t>
  </si>
  <si>
    <t>Moscow town</t>
  </si>
  <si>
    <t>New Portland town</t>
  </si>
  <si>
    <t>Norridgewock town</t>
  </si>
  <si>
    <t>Northeast Somerset UT</t>
  </si>
  <si>
    <t>Northwest Somerset UT</t>
  </si>
  <si>
    <t>Palmyra town</t>
  </si>
  <si>
    <t>Pittsfield town</t>
  </si>
  <si>
    <t>Pleasant Ridge plantatio</t>
  </si>
  <si>
    <t>Ripley town</t>
  </si>
  <si>
    <t>St. Albans town</t>
  </si>
  <si>
    <t>Seboomook Lake UT</t>
  </si>
  <si>
    <t>Skowhegan town</t>
  </si>
  <si>
    <t>Smithfield town</t>
  </si>
  <si>
    <t>Solon town</t>
  </si>
  <si>
    <t>Starks town</t>
  </si>
  <si>
    <t>The Forks plantation</t>
  </si>
  <si>
    <t>West Forks plantation</t>
  </si>
  <si>
    <t>Belmont town</t>
  </si>
  <si>
    <t>Brooks town</t>
  </si>
  <si>
    <t>Burnham town</t>
  </si>
  <si>
    <t>Frankfort town</t>
  </si>
  <si>
    <t>Freedom town</t>
  </si>
  <si>
    <t>Islesboro town</t>
  </si>
  <si>
    <t>Jackson town</t>
  </si>
  <si>
    <t>Knox town</t>
  </si>
  <si>
    <t>Liberty town</t>
  </si>
  <si>
    <t>Lincolnville town</t>
  </si>
  <si>
    <t>Monroe town</t>
  </si>
  <si>
    <t>Montville town</t>
  </si>
  <si>
    <t>Morrill town</t>
  </si>
  <si>
    <t>Northport town</t>
  </si>
  <si>
    <t>Palermo town</t>
  </si>
  <si>
    <t>Prospect town</t>
  </si>
  <si>
    <t>Searsmont town</t>
  </si>
  <si>
    <t>Searsport town</t>
  </si>
  <si>
    <t>Stockton Springs town</t>
  </si>
  <si>
    <t>Swanville town</t>
  </si>
  <si>
    <t>Thorndike town</t>
  </si>
  <si>
    <t>Troy town</t>
  </si>
  <si>
    <t>Unity town</t>
  </si>
  <si>
    <t>Waldo town</t>
  </si>
  <si>
    <t>Winterport town</t>
  </si>
  <si>
    <t>Addison town</t>
  </si>
  <si>
    <t>Alexander town</t>
  </si>
  <si>
    <t>Baileyville town</t>
  </si>
  <si>
    <t>Baring plantation</t>
  </si>
  <si>
    <t>Beals town</t>
  </si>
  <si>
    <t>Beddington town</t>
  </si>
  <si>
    <t>Centerville town</t>
  </si>
  <si>
    <t>Charlotte town</t>
  </si>
  <si>
    <t>Cherryfield town</t>
  </si>
  <si>
    <t>Codyville plantation</t>
  </si>
  <si>
    <t>Columbia town</t>
  </si>
  <si>
    <t>Columbia Falls town</t>
  </si>
  <si>
    <t>Cooper town</t>
  </si>
  <si>
    <t>Crawford town</t>
  </si>
  <si>
    <t>Cutler town</t>
  </si>
  <si>
    <t>Danforth town</t>
  </si>
  <si>
    <t>Deblois town</t>
  </si>
  <si>
    <t>Dennysville town</t>
  </si>
  <si>
    <t>East Central Washington</t>
  </si>
  <si>
    <t>East Machias town</t>
  </si>
  <si>
    <t>Grand Lake Stream planta</t>
  </si>
  <si>
    <t>Harrington town</t>
  </si>
  <si>
    <t>Jonesboro town</t>
  </si>
  <si>
    <t>Jonesport town</t>
  </si>
  <si>
    <t>Lubec town</t>
  </si>
  <si>
    <t>Machias town</t>
  </si>
  <si>
    <t>Machiasport town</t>
  </si>
  <si>
    <t>Marshfield town</t>
  </si>
  <si>
    <t>Meddybemps town</t>
  </si>
  <si>
    <t>Milbridge town</t>
  </si>
  <si>
    <t>Northfield town</t>
  </si>
  <si>
    <t>North Washington UT</t>
  </si>
  <si>
    <t>Passamaquoddy Indian Tow</t>
  </si>
  <si>
    <t>Passamaquoddy Pleasant P</t>
  </si>
  <si>
    <t>Pembroke town</t>
  </si>
  <si>
    <t>Perry town</t>
  </si>
  <si>
    <t>Princeton town</t>
  </si>
  <si>
    <t>Robbinston town</t>
  </si>
  <si>
    <t>Roque Bluffs town</t>
  </si>
  <si>
    <t>Steuben town</t>
  </si>
  <si>
    <t>Talmadge town</t>
  </si>
  <si>
    <t>Topsfield town</t>
  </si>
  <si>
    <t>Vanceboro town</t>
  </si>
  <si>
    <t>Waite town</t>
  </si>
  <si>
    <t>Wesley town</t>
  </si>
  <si>
    <t>Whiting town</t>
  </si>
  <si>
    <t>Whitneyville town</t>
  </si>
  <si>
    <t>Acton town</t>
  </si>
  <si>
    <t>Alfred town</t>
  </si>
  <si>
    <t>Arundel town</t>
  </si>
  <si>
    <t>Berwick town</t>
  </si>
  <si>
    <t>Buxton town</t>
  </si>
  <si>
    <t>Cornish town</t>
  </si>
  <si>
    <t>Dayton town</t>
  </si>
  <si>
    <t>Eliot town</t>
  </si>
  <si>
    <t>Hollis town</t>
  </si>
  <si>
    <t>Kennebunk town</t>
  </si>
  <si>
    <t>Kennebunkport town</t>
  </si>
  <si>
    <t>Kittery town</t>
  </si>
  <si>
    <t>Lebanon town</t>
  </si>
  <si>
    <t>Limerick town</t>
  </si>
  <si>
    <t>Limington town</t>
  </si>
  <si>
    <t>Lyman town</t>
  </si>
  <si>
    <t>Newfield town</t>
  </si>
  <si>
    <t>North Berwick town</t>
  </si>
  <si>
    <t>Ogunquit town</t>
  </si>
  <si>
    <t>Old Orchard Beach town</t>
  </si>
  <si>
    <t>Parsonsfield town</t>
  </si>
  <si>
    <t>Sanford town</t>
  </si>
  <si>
    <t>Shapleigh town</t>
  </si>
  <si>
    <t>South Berwick town</t>
  </si>
  <si>
    <t>Waterboro town</t>
  </si>
  <si>
    <t>Wells town</t>
  </si>
  <si>
    <t>York town</t>
  </si>
  <si>
    <t>47-56</t>
  </si>
  <si>
    <t>57-66</t>
  </si>
  <si>
    <t>Grade</t>
  </si>
  <si>
    <t>Rates</t>
  </si>
  <si>
    <t>Total</t>
  </si>
  <si>
    <t>SS</t>
  </si>
  <si>
    <t>CapRev</t>
  </si>
  <si>
    <t>SWAP</t>
  </si>
  <si>
    <t>PUC YrEnd Reports</t>
  </si>
  <si>
    <t>System Maps</t>
  </si>
  <si>
    <t>Charter Date  (E2)</t>
  </si>
  <si>
    <t xml:space="preserve"> Appropriated Retained Earnings   (F5)</t>
  </si>
  <si>
    <t>Total Utility Plant Assets       (W4)</t>
  </si>
  <si>
    <t>Annual Depreciation  (W4)</t>
  </si>
  <si>
    <t>1)master meter calc; 2)generator; 3)WHP ordinance</t>
  </si>
  <si>
    <t>% Unaccounted for Water  (DWP-SS)</t>
  </si>
  <si>
    <t>System Population  (DWP)</t>
  </si>
  <si>
    <t>Days of Storage  (SS)</t>
  </si>
  <si>
    <t>Moderate</t>
  </si>
  <si>
    <t>?</t>
  </si>
  <si>
    <t>1)copy MSDS@Plant; 2)Need one additional staff</t>
  </si>
  <si>
    <t>1)repair fence</t>
  </si>
  <si>
    <t>Oversize</t>
  </si>
  <si>
    <t>Fullsize</t>
  </si>
  <si>
    <t>Undersize</t>
  </si>
  <si>
    <t>1)deliver Ord to prevent constrution in WHPZ; 2)Plan to replace meters; 3)Continue Valve Exercise</t>
  </si>
  <si>
    <t>1)Update CompFacilPlan 2)Consider Nitrate Removal 3)Consider Adv Leak Detection</t>
  </si>
  <si>
    <t>Long-term Debt  @ Close of Year   (F17)</t>
  </si>
  <si>
    <t>Mod/High</t>
  </si>
  <si>
    <t>Number of Operation Employees  (W6)</t>
  </si>
  <si>
    <t>1)Incr Storage in StDavid's 2)Reduce high F alarm</t>
  </si>
  <si>
    <t>Budget and Actual Exp &lt;=5%</t>
  </si>
  <si>
    <t>CapDev Review Date</t>
  </si>
  <si>
    <t>No WHP</t>
  </si>
  <si>
    <t>Low</t>
  </si>
  <si>
    <t>PUC Report Date</t>
  </si>
  <si>
    <t>Operating Ratio</t>
  </si>
  <si>
    <t>Debt Service Coverage Ratio</t>
  </si>
  <si>
    <t>The operating ratio demonstrates the relationship between operating revenues and operating expenses. A high ratio indicates that the organization has achieved operating efficiency by keeping expenses low relative to revenue.</t>
  </si>
  <si>
    <t>The debt ratio measures the amount of debt being used by the organization. A ration of less than 1 would mean a , mean a negative cash flow. A DSCR of less than 1, say .95, would mean that there is only enough net operating income to corver 95% of annual debt payments.</t>
  </si>
  <si>
    <t>The sales ratio measures the percentage oftotal revenue that is made up of sales from operations. A low ratio indicates that the organization is overly reliant on outside funding.</t>
  </si>
  <si>
    <t>Sales Ratio</t>
  </si>
  <si>
    <t>The expense ratio measures the amount of operating expenses compared to total expenses. A high ratio indicates that most expenditures are for operations, leaving the remaining balance for non-operating costs (such as debt service and capital improvements). If the non-operating balance is small, the utility is not likely to meet all its capital-related expenses, which might cause the system to deteriorate more rapidly.</t>
  </si>
  <si>
    <t>Expense Ratio</t>
  </si>
  <si>
    <t>Op Rev ÷ Op Ex</t>
  </si>
  <si>
    <t>Sales ÷ Total Revenue</t>
  </si>
  <si>
    <t>Operating Expense ÷ Total Expense</t>
  </si>
  <si>
    <r>
      <t xml:space="preserve">Net Income </t>
    </r>
    <r>
      <rPr>
        <b/>
        <i/>
        <sz val="11"/>
        <color theme="1"/>
        <rFont val="Calibri"/>
        <family val="2"/>
        <scheme val="minor"/>
      </rPr>
      <t xml:space="preserve">÷ </t>
    </r>
    <r>
      <rPr>
        <i/>
        <sz val="11"/>
        <color theme="1"/>
        <rFont val="Calibri"/>
        <family val="2"/>
        <scheme val="minor"/>
      </rPr>
      <t>Total Debt</t>
    </r>
  </si>
  <si>
    <t>Net Income (F4-L46)</t>
  </si>
  <si>
    <t>Snapshot of one year.  Best to have a multi-year trends to fully understand TMF</t>
  </si>
  <si>
    <t>Demographics</t>
  </si>
  <si>
    <t>Last USDA Loan Date (F17)</t>
  </si>
  <si>
    <t>Last SRF Loan Date (F17)</t>
  </si>
  <si>
    <t>Other Bonds (F17)</t>
  </si>
  <si>
    <t>Systems may not service the whole town therefore, MHI and LMI may not reflect the utility service customers</t>
  </si>
  <si>
    <t>Observations/Comments/Issues</t>
  </si>
  <si>
    <t>No.</t>
  </si>
  <si>
    <t>Town  Pop       (2000 US Census)</t>
  </si>
  <si>
    <t>Water Users as % of Town (2000)</t>
  </si>
  <si>
    <t>Brackets</t>
  </si>
  <si>
    <t xml:space="preserve">Low Moderate Income </t>
  </si>
  <si>
    <t>Metered Sales of Water      (W3-L14)</t>
  </si>
  <si>
    <t>Total Revenue from Sales include fire protection money received from Town but refer to metered sales of water doesn't include fire protection</t>
  </si>
  <si>
    <t>Revenue from Fire Hydrant and other Fees        (BP-BO)</t>
  </si>
  <si>
    <t>Percent of Other Sales vs. Metered Sales</t>
  </si>
  <si>
    <t>Percent of Assets Depreciated</t>
  </si>
  <si>
    <t>Op Expenses  (F4-L3)</t>
  </si>
  <si>
    <t>Total Operating Revenue   (F4-L2)</t>
  </si>
  <si>
    <t>Revenue from Water Sales       (W3-L20)</t>
  </si>
  <si>
    <t>% Unaccounted Water              (W12)</t>
  </si>
  <si>
    <t>High</t>
  </si>
  <si>
    <t>na</t>
  </si>
  <si>
    <t>Contracted</t>
  </si>
  <si>
    <t>1)MSDS copy distribution; 2)Res Overflow pipe screen too large 3)XC plan review</t>
  </si>
  <si>
    <t>Total Water Production  (W12 L15)</t>
  </si>
  <si>
    <t>1)Unsealed/unscreened wellheads 2)Chlorine tanks containments 3)F feed BFP test 4) Tank Ladder too low 5)Overflow BFP?</t>
  </si>
  <si>
    <t>1)Integrate XC Program 2) Develop system SOPs</t>
  </si>
  <si>
    <t>1)1999 replaced 1896 tank 2)2004 new well 3) replacing meters/hydrants 3) new office bldg +/- years ago</t>
  </si>
  <si>
    <t>Number of Customers Metered (W7)</t>
  </si>
  <si>
    <t>Total Number of Public &amp; Private Hydrants in Use  (W10)</t>
  </si>
  <si>
    <t>Number of Customers Un Metered (W7)</t>
  </si>
  <si>
    <t>Asbestos Cmt  or Transite Pipe in System          (SS)</t>
  </si>
  <si>
    <t>Average Daily Production GPD (SS)</t>
  </si>
  <si>
    <t>Plant Design Capacity        GPD (SS)</t>
  </si>
  <si>
    <t>Max Daily Production GPD (SS)</t>
  </si>
  <si>
    <t>Operating Reserves  (F2-L36)</t>
  </si>
  <si>
    <t>Total Special Deposits (F8-L23)</t>
  </si>
  <si>
    <t>Total Current and Accrued Liabilities    (F2-L29)</t>
  </si>
  <si>
    <t>% Commerical Sales          (W3-L11/L14)</t>
  </si>
  <si>
    <t>% Industrial Sales  (W3-L12/L14)</t>
  </si>
  <si>
    <t>% Public Authority Sales  (W3-L13/L14)</t>
  </si>
  <si>
    <t>1)ERP 2)BAT smpl site 3)XC plan 4)Unsealed wellheads 5)Overflow not screened 6)PPE required 7)Cl control timer</t>
  </si>
  <si>
    <t>65 ac</t>
  </si>
  <si>
    <t>112 ac</t>
  </si>
  <si>
    <t>Annual Debt Payment (F5-L35 or F2, L16, G-F)</t>
  </si>
  <si>
    <t>1)2011-12 replacmt of pipes, valves, hydrants 2)2011 filter repairs</t>
  </si>
  <si>
    <t>&lt;1</t>
  </si>
  <si>
    <t>Not req</t>
  </si>
  <si>
    <t>INDIAN TOWNSHIP TRIBAL WATER SYS</t>
  </si>
  <si>
    <t>Purchased rights of Quantabacook Water Company and constructed $1,900,000 water plant.</t>
  </si>
  <si>
    <t>1)Leak at standpipe bolt 2)security system damaged 3)need spare Cl pump 4)eval of BFP need 5)BAT site required</t>
  </si>
  <si>
    <t>Asbestos or Transite Pipe</t>
  </si>
  <si>
    <t>Unknown</t>
  </si>
  <si>
    <t>Benchmarks</t>
  </si>
  <si>
    <t>Unaccounted for Water</t>
  </si>
  <si>
    <t>&lt;12%</t>
  </si>
  <si>
    <t>13-18%</t>
  </si>
  <si>
    <t>19-22%</t>
  </si>
  <si>
    <t>Max</t>
  </si>
  <si>
    <t>Min</t>
  </si>
  <si>
    <t>Avg</t>
  </si>
  <si>
    <t>Mean</t>
  </si>
  <si>
    <t>Census 2000</t>
  </si>
  <si>
    <t>Data Analysis</t>
  </si>
  <si>
    <t>Water Users as % of Town Population</t>
  </si>
  <si>
    <t>61-80</t>
  </si>
  <si>
    <t>40-60</t>
  </si>
  <si>
    <t>20-39</t>
  </si>
  <si>
    <t>LMI  (2000)</t>
  </si>
  <si>
    <t>Water User as % of Town Grade</t>
  </si>
  <si>
    <t xml:space="preserve">LMI Grade </t>
  </si>
  <si>
    <t>Rate Adjustment Grade</t>
  </si>
  <si>
    <t>Wells (2)</t>
  </si>
  <si>
    <t>SWAP Grade</t>
  </si>
  <si>
    <t>Wells (3)</t>
  </si>
  <si>
    <t>Wells (4)</t>
  </si>
  <si>
    <t>Wells (5)</t>
  </si>
  <si>
    <t>Bedrock</t>
  </si>
  <si>
    <t>Gravel</t>
  </si>
  <si>
    <t>Source Yield (gpm) (SS)</t>
  </si>
  <si>
    <t>Source Type     (SS)</t>
  </si>
  <si>
    <t>Stream</t>
  </si>
  <si>
    <t>Impoundmt</t>
  </si>
  <si>
    <t>Feet of Pipe in Use      (W9)</t>
  </si>
  <si>
    <t>Range</t>
  </si>
  <si>
    <t>Wells (1)</t>
  </si>
  <si>
    <t>&gt;2009</t>
  </si>
  <si>
    <t>2004-2007</t>
  </si>
  <si>
    <t>2008-2009</t>
  </si>
  <si>
    <t>&lt;2004</t>
  </si>
  <si>
    <t>Loan Date Grade</t>
  </si>
  <si>
    <t>0.66-0.9</t>
  </si>
  <si>
    <t>&gt;1.4%</t>
  </si>
  <si>
    <t>0.91-1.4</t>
  </si>
  <si>
    <t>Source Water Protect Plan Date</t>
  </si>
  <si>
    <t>Metered Customers</t>
  </si>
  <si>
    <t>96-99%</t>
  </si>
  <si>
    <t>80-95%</t>
  </si>
  <si>
    <t>50-79%</t>
  </si>
  <si>
    <t>&lt;50%</t>
  </si>
  <si>
    <t>Maine Median Household Income</t>
  </si>
  <si>
    <t>Highest Possible Score</t>
  </si>
  <si>
    <t xml:space="preserve">Using 2000 census population, MHI and LMI.  </t>
  </si>
  <si>
    <t>1)Monitoring &amp; Monitoring Equip 2)Source Prot 3)BFP &amp; XC Control 4)Turbidity control 5)Spare Lime pump 6)Flushing Practice</t>
  </si>
  <si>
    <t>Sales Ratio        (high good)</t>
  </si>
  <si>
    <t>Expense Ratio   (low good)</t>
  </si>
  <si>
    <t>Operating Ratio        (&gt;=1 good)</t>
  </si>
  <si>
    <t>% of Metered Connected</t>
  </si>
  <si>
    <t>Storage Capacity      (gal)   (SS)</t>
  </si>
  <si>
    <t>A</t>
  </si>
  <si>
    <t>B</t>
  </si>
  <si>
    <t>C</t>
  </si>
  <si>
    <t>D</t>
  </si>
  <si>
    <t>F</t>
  </si>
  <si>
    <t>When one district services multiple towns;  the MHI of each town will be weighted against population to obtain a weighted average MHI</t>
  </si>
  <si>
    <t>MARS HILL, BLAINE,WESTFIELD</t>
  </si>
  <si>
    <t>When one district services multiple towns;  the LMI of each town will be weighted against population to obtain a weighted average LMI</t>
  </si>
  <si>
    <t>System Population  (DWP:Connectx2.5)</t>
  </si>
  <si>
    <t>"Older" Pipe Types  Grade</t>
  </si>
  <si>
    <t>Un-accounted for Water Grade</t>
  </si>
  <si>
    <t>Gravel + Stream</t>
  </si>
  <si>
    <t>Plant Capacity vs Av Daily Production  Grade</t>
  </si>
  <si>
    <t>Source Capacity minus Plant Design Capacity GPD (SS)</t>
  </si>
  <si>
    <t>Excess Source Yield Capcity vs/ Plant Capacity</t>
  </si>
  <si>
    <t>1940 population peaked at 2457. Since 1999, the water lines have been in a replacement schedule and fixing dead-ends</t>
  </si>
  <si>
    <t>Op Lic Renewal; 1)Zoning 4 WHP. 2)XC Prog Update; 3)Aged Wtr; 4)Ops/Proceedures</t>
  </si>
  <si>
    <t>1)Update Plan 4 Replc of Domestic Meters, 2)Bush Hog@Storage; 1)Update XC Sheets, 2)Generator for WTP 3)Con't Leak Detect 4)Update Pipe Type &amp; Length</t>
  </si>
  <si>
    <t>1)Tanks needs Paint; possible struct issues; 1)consider peristaltic pumps 2)ck list for receiving chems 3)contact neighbor systems for disposal of ____</t>
  </si>
  <si>
    <t>1)WtrSmplPort 2)CalcClmtr 3)Loam/Seed 4)Repair Control HL Pump 4)Flouride exceedence:Unresolved Violation: 1)ERP 2)Calib Master Mtr 3)As Media 4) RepairClearwell Probe</t>
  </si>
  <si>
    <t>Continued loss of population is evidenced over the last 40 years and reduced consumption by industry due to to conservation will result in less water being pumped and less total income.</t>
  </si>
  <si>
    <t>1) Update BF progm 2)Repair raking sys: 3)Jointly dispose of F Smpls; 4) Generator of Filter Plant</t>
  </si>
  <si>
    <r>
      <t>Plant Capacity (Design</t>
    </r>
    <r>
      <rPr>
        <b/>
        <sz val="11"/>
        <color theme="1"/>
        <rFont val="Calibri"/>
        <family val="2"/>
      </rPr>
      <t>÷</t>
    </r>
    <r>
      <rPr>
        <b/>
        <i/>
        <sz val="11"/>
        <color theme="1"/>
        <rFont val="Calibri"/>
        <family val="2"/>
      </rPr>
      <t>Avg Daily</t>
    </r>
    <r>
      <rPr>
        <b/>
        <i/>
        <sz val="11"/>
        <color theme="1"/>
        <rFont val="Calibri"/>
        <family val="2"/>
        <scheme val="minor"/>
      </rPr>
      <t>)</t>
    </r>
  </si>
  <si>
    <t>% Land Owned within 300ft of Well (DWP)</t>
  </si>
  <si>
    <t xml:space="preserve">High </t>
  </si>
  <si>
    <t xml:space="preserve">  Unaccounted for water: reward for low water loss in system</t>
  </si>
  <si>
    <t xml:space="preserve">  Water Users as a Percentage of Town Population: reward for servicing more of the town</t>
  </si>
  <si>
    <t xml:space="preserve">  No Asbestos or Transite Pipe: reward for no old pipe so that replacement costs are relatively lower</t>
  </si>
  <si>
    <t xml:space="preserve">  Rate/MHI: reward for higher rates which will better qualify system for improvement grants from RD/SRF</t>
  </si>
  <si>
    <t>Loan Grade</t>
  </si>
  <si>
    <t>&gt;2007</t>
  </si>
  <si>
    <t>2006-2001</t>
  </si>
  <si>
    <t>2000-1995</t>
  </si>
  <si>
    <t>&lt;1995</t>
  </si>
  <si>
    <t>RCAP Letter Grade</t>
  </si>
  <si>
    <t>Final Letter Grade</t>
  </si>
  <si>
    <t>EASTPORT, PLEASANT POINT</t>
  </si>
  <si>
    <t>NA</t>
  </si>
  <si>
    <t>Town</t>
  </si>
  <si>
    <t>MHI 2000</t>
  </si>
  <si>
    <t>POP 2000</t>
  </si>
  <si>
    <t>BxC</t>
  </si>
  <si>
    <r>
      <t>LMI</t>
    </r>
    <r>
      <rPr>
        <b/>
        <strike/>
        <sz val="11"/>
        <color theme="1"/>
        <rFont val="Calibri"/>
        <family val="2"/>
        <scheme val="minor"/>
      </rPr>
      <t>%</t>
    </r>
  </si>
  <si>
    <t>Mars Hill</t>
  </si>
  <si>
    <t>Blaine</t>
  </si>
  <si>
    <t>Westfield</t>
  </si>
  <si>
    <t>WghtMHI</t>
  </si>
  <si>
    <t>WghtLMI</t>
  </si>
  <si>
    <t>Eastport</t>
  </si>
  <si>
    <t>Pl Point</t>
  </si>
  <si>
    <t>H*/H5</t>
  </si>
  <si>
    <t>IxF</t>
  </si>
  <si>
    <t>GxL</t>
  </si>
  <si>
    <t>M*/M5</t>
  </si>
  <si>
    <t>NxL</t>
  </si>
  <si>
    <t>When one district services multiple towns;  populations of the multiple towns will be added together (see calculations in E1)</t>
  </si>
  <si>
    <t>MEAN NUMBERS</t>
  </si>
  <si>
    <r>
      <t xml:space="preserve">Design Capacity </t>
    </r>
    <r>
      <rPr>
        <sz val="11"/>
        <color theme="1"/>
        <rFont val="Calibri"/>
        <family val="2"/>
      </rPr>
      <t>÷ Av</t>
    </r>
    <r>
      <rPr>
        <sz val="11"/>
        <color theme="1"/>
        <rFont val="Calibri"/>
        <family val="2"/>
        <scheme val="minor"/>
      </rPr>
      <t>g Daily Prod Ratio (SS)</t>
    </r>
  </si>
  <si>
    <t>Plant Capacity vs/ Avg Daily Production</t>
  </si>
  <si>
    <t>Grading</t>
  </si>
  <si>
    <t>Comments/Suggestions / Receommendations from MEDWP and MEPUC</t>
  </si>
  <si>
    <t>MEPUC  (E5)</t>
  </si>
  <si>
    <t>Total Unaccounted Water          (W12 L37)</t>
  </si>
  <si>
    <t>Total Accounted for Non Revenue Water        (W12 L36)</t>
  </si>
  <si>
    <r>
      <t xml:space="preserve">Grades follow the benchmark tab.  The "Grade Columns" that </t>
    </r>
    <r>
      <rPr>
        <b/>
        <i/>
        <sz val="11"/>
        <color rgb="FFFF0000"/>
        <rFont val="Calibri"/>
        <family val="2"/>
        <scheme val="minor"/>
      </rPr>
      <t>may be considered</t>
    </r>
    <r>
      <rPr>
        <b/>
        <i/>
        <sz val="11"/>
        <color theme="1"/>
        <rFont val="Calibri"/>
        <family val="2"/>
        <scheme val="minor"/>
      </rPr>
      <t xml:space="preserve"> to be weighted by a factor of 2 are: </t>
    </r>
  </si>
  <si>
    <t>Excess Source Capacity Grade</t>
  </si>
  <si>
    <t>Not all systems had Capacity Reviews completed therefore, CapDev reviews were eliminated from grading</t>
  </si>
  <si>
    <t>For utilities that handle both water and sewer, should be more financially robust.  The PUC reports handle water discipline only</t>
  </si>
  <si>
    <t xml:space="preserve">  Plant Capacity : reward for oversized plant meaning more capacity for growth</t>
  </si>
  <si>
    <t>SWAPs were basically done in 2003-5.  Changes could have occurred since specially ownership of land which directly impacts risk.</t>
  </si>
  <si>
    <t>Presque Isle</t>
  </si>
  <si>
    <t>Argument could be with the 2000 census data instead of more current demographics.</t>
  </si>
  <si>
    <t xml:space="preserve">Financials from PUC report.  PUC Annual Report Year (usually 2012) and PUC listed Water Rates (change variably) are related to 2000 MHI/LMI.  </t>
  </si>
  <si>
    <t xml:space="preserve">The various data years reflect the current situation impacting the customers.  </t>
  </si>
  <si>
    <t>Milbridge</t>
  </si>
  <si>
    <t>Machias</t>
  </si>
  <si>
    <t>Installed culvert on 4-wheeler Trail on south side of lake</t>
  </si>
  <si>
    <t>Stream / Wells (1)</t>
  </si>
  <si>
    <t>Lake / Wells (2)</t>
  </si>
  <si>
    <t>Lake/BR</t>
  </si>
  <si>
    <t>Total Operating Cost per Person</t>
  </si>
  <si>
    <t>Total Op Expense / Sys Population</t>
  </si>
  <si>
    <t>Total Operating Cost per Person Grade</t>
  </si>
  <si>
    <t>Percent of Depreciated Assets</t>
  </si>
  <si>
    <t>Percent of Assets Depreciated Grade</t>
  </si>
  <si>
    <t>&lt;51%</t>
  </si>
  <si>
    <t>51-60%</t>
  </si>
  <si>
    <t>61-70%</t>
  </si>
  <si>
    <t>71-75%</t>
  </si>
  <si>
    <t>76-86%</t>
  </si>
  <si>
    <t>&gt;86%</t>
  </si>
  <si>
    <t>Last Rate Adjustment</t>
  </si>
  <si>
    <t>Max Possible</t>
  </si>
  <si>
    <t>Source Description (SS or SWAP)</t>
  </si>
  <si>
    <t>ETT Score</t>
  </si>
  <si>
    <t xml:space="preserve"> Town Median Household Income (2000)</t>
  </si>
  <si>
    <r>
      <t xml:space="preserve">Rates </t>
    </r>
    <r>
      <rPr>
        <sz val="11"/>
        <color theme="1"/>
        <rFont val="Calibri"/>
        <family val="2"/>
      </rPr>
      <t>÷</t>
    </r>
    <r>
      <rPr>
        <sz val="11"/>
        <color theme="1"/>
        <rFont val="Calibri"/>
        <family val="2"/>
        <scheme val="minor"/>
      </rPr>
      <t xml:space="preserve"> MHI Ratio</t>
    </r>
  </si>
  <si>
    <r>
      <t xml:space="preserve">TownMHI </t>
    </r>
    <r>
      <rPr>
        <sz val="11"/>
        <color theme="1"/>
        <rFont val="Calibri"/>
        <family val="2"/>
      </rPr>
      <t>÷</t>
    </r>
    <r>
      <rPr>
        <sz val="7.05"/>
        <color theme="1"/>
        <rFont val="Calibri"/>
        <family val="2"/>
      </rPr>
      <t xml:space="preserve"> </t>
    </r>
    <r>
      <rPr>
        <sz val="11"/>
        <color theme="1"/>
        <rFont val="Calibri"/>
        <family val="2"/>
        <scheme val="minor"/>
      </rPr>
      <t>State MHI Grade</t>
    </r>
  </si>
  <si>
    <r>
      <t xml:space="preserve">% Town MHI </t>
    </r>
    <r>
      <rPr>
        <sz val="11"/>
        <color theme="1"/>
        <rFont val="Calibri"/>
        <family val="2"/>
      </rPr>
      <t>÷</t>
    </r>
    <r>
      <rPr>
        <sz val="11"/>
        <color theme="1"/>
        <rFont val="Calibri"/>
        <family val="2"/>
        <scheme val="minor"/>
      </rPr>
      <t xml:space="preserve"> State MHI   </t>
    </r>
  </si>
  <si>
    <t>BR + Gravel</t>
  </si>
  <si>
    <t>Town(s) Served</t>
  </si>
  <si>
    <t>% Residential Sales        (W3-L10/L14)</t>
  </si>
  <si>
    <t>Total Utility Expenses (F4-L13)</t>
  </si>
  <si>
    <t>Number of Times Chartered Amended  (E2)</t>
  </si>
  <si>
    <r>
      <t xml:space="preserve">Excess Source Yield Capacity </t>
    </r>
    <r>
      <rPr>
        <sz val="11"/>
        <color theme="1"/>
        <rFont val="Calibri"/>
        <family val="2"/>
      </rPr>
      <t>÷</t>
    </r>
    <r>
      <rPr>
        <sz val="11"/>
        <color theme="1"/>
        <rFont val="Calibri"/>
        <family val="2"/>
        <scheme val="minor"/>
      </rPr>
      <t xml:space="preserve"> Plant Capacity</t>
    </r>
  </si>
  <si>
    <t>Delinquent Acct  &lt;5% (CapDev)</t>
  </si>
  <si>
    <t>SWP Vulnerability Score</t>
  </si>
  <si>
    <t>SWP Deficiencies</t>
  </si>
  <si>
    <t>Avg GPD per person</t>
  </si>
  <si>
    <t>Based on the PUC due to rigorus calculation.  If not in PUC, then take the Sanitary Survey number.</t>
  </si>
  <si>
    <t>2-3</t>
  </si>
  <si>
    <t>3-4</t>
  </si>
  <si>
    <t>Large Sized</t>
  </si>
  <si>
    <t>&lt;20%</t>
  </si>
  <si>
    <t>&gt;80%</t>
  </si>
  <si>
    <t>&lt;0.65</t>
  </si>
  <si>
    <t>&gt;$256</t>
  </si>
  <si>
    <t>&lt;$100</t>
  </si>
  <si>
    <t>$266-300</t>
  </si>
  <si>
    <t>$165-265</t>
  </si>
  <si>
    <t>$101-164</t>
  </si>
  <si>
    <t>&gt;22%</t>
  </si>
  <si>
    <r>
      <t xml:space="preserve">Town MHI </t>
    </r>
    <r>
      <rPr>
        <b/>
        <sz val="11"/>
        <color theme="1"/>
        <rFont val="Calibri"/>
        <family val="2"/>
      </rPr>
      <t>÷</t>
    </r>
    <r>
      <rPr>
        <b/>
        <i/>
        <sz val="11"/>
        <color theme="1"/>
        <rFont val="Calibri"/>
        <family val="2"/>
      </rPr>
      <t xml:space="preserve"> State MHI</t>
    </r>
  </si>
  <si>
    <t>Median Household Income (MHI)</t>
  </si>
  <si>
    <t>&lt;47%</t>
  </si>
  <si>
    <t>&gt;66%</t>
  </si>
  <si>
    <t>&gt;1</t>
  </si>
  <si>
    <t>&gt;4</t>
  </si>
  <si>
    <t>1-2</t>
  </si>
  <si>
    <t>Financial Grade</t>
  </si>
  <si>
    <t>The more points scored = the better system capacity to cope with development</t>
  </si>
  <si>
    <t>Fire Flow Storage: 3000gpm for 3 hours or 540,000gallons</t>
  </si>
  <si>
    <t>COPPER EXCEEDANCE</t>
  </si>
  <si>
    <t>ETT Comment</t>
  </si>
  <si>
    <t>LEAD EXCEEDANCE</t>
  </si>
  <si>
    <t>FAILURE TO MONITOR- GROSS ALPHA</t>
  </si>
  <si>
    <t>TURBIDITY EXCEEDANCE</t>
  </si>
  <si>
    <t>LEAD EXCEEDANCE; UV TREATMENT</t>
  </si>
  <si>
    <t>FAILURE TO POST PUBLIC NOTICE</t>
  </si>
  <si>
    <t>System SDWA Unresolved Violations  (SS)</t>
  </si>
  <si>
    <t>Sanitary Survey Deficiencies (SS)</t>
  </si>
  <si>
    <t>1)update O&amp;M Manual 2)touch up Loam at Foxcroft Tank</t>
  </si>
  <si>
    <t>1)Calbr Methods for Cl monitor 2)Update Univ Waste Plan 3)Update SCADA overview 4)Update Plumbing Code Books</t>
  </si>
  <si>
    <t>MEDWP Sanitary Survey  Recommentations</t>
  </si>
  <si>
    <t>1)Eval F overfeed 2)Eval Chem Feed flow switch 3)Provide CCCP for possible update 4)Possible Well 1 seal of electric conduit 5)SOP needed</t>
  </si>
  <si>
    <t>Rates in 2000, 2006, 2009. New office in 2003. In 2010-2011 paid off debt (backhoe, vehicle, land)</t>
  </si>
  <si>
    <t>Electric , Water and Sewer services</t>
  </si>
  <si>
    <t>1)CCCP needs testing; 2)Dev. ChemRec Log 3)Con't Leak Detection Progr</t>
  </si>
  <si>
    <r>
      <t xml:space="preserve">2007operation of two new gravel wells.  The old filter plant ceased operation in September 2007. </t>
    </r>
    <r>
      <rPr>
        <u/>
        <sz val="10"/>
        <color theme="1"/>
        <rFont val="Calibri"/>
        <family val="2"/>
        <scheme val="minor"/>
      </rPr>
      <t>New service connections are estimated to be three to five per year for the near future.</t>
    </r>
  </si>
  <si>
    <t>May 2009, total on well water.  Growth is at best at a standstill</t>
  </si>
  <si>
    <t>2012 replacement of mains, meters, hydrants, services</t>
  </si>
  <si>
    <t>2011 switch to well water</t>
  </si>
  <si>
    <t>Mid 1980s, well water; 1990 Mn removal; District persusing a conservation easement which would safte guard the  area for years forward.</t>
  </si>
  <si>
    <t>Current and projected growth patterns are projected  to remain flat.</t>
  </si>
  <si>
    <t>The District expects no growth due to geographic restrictions and the fact that the Town's population is continuing to decline</t>
  </si>
  <si>
    <t>The District would like to expand on fire protection someday.  Cost in replacing more old mains is a major concern.</t>
  </si>
  <si>
    <t>Overall Risk Grade (MAX=72)</t>
  </si>
  <si>
    <t>Current Ratio</t>
  </si>
  <si>
    <t>Total Assets/Current Liabilities (BQ/CP_</t>
  </si>
  <si>
    <r>
      <t xml:space="preserve">Annual Debt Payment </t>
    </r>
    <r>
      <rPr>
        <sz val="11"/>
        <color theme="1"/>
        <rFont val="Calibri"/>
        <family val="2"/>
      </rPr>
      <t xml:space="preserve">÷ </t>
    </r>
    <r>
      <rPr>
        <sz val="11"/>
        <color theme="1"/>
        <rFont val="Calibri"/>
        <family val="2"/>
        <scheme val="minor"/>
      </rPr>
      <t>Connections</t>
    </r>
  </si>
  <si>
    <t>Op+Sales-Exp Ratio Evaluation (high good)</t>
  </si>
  <si>
    <t>In Progress</t>
  </si>
  <si>
    <t>Last Name</t>
  </si>
  <si>
    <t>Email</t>
  </si>
  <si>
    <t>Phone</t>
  </si>
  <si>
    <t>Address</t>
  </si>
  <si>
    <t>First Name</t>
  </si>
  <si>
    <t xml:space="preserve"> FRANK</t>
  </si>
  <si>
    <t>State</t>
  </si>
  <si>
    <t>ROLFE</t>
  </si>
  <si>
    <t xml:space="preserve"> GARDNER</t>
  </si>
  <si>
    <t>MADORE</t>
  </si>
  <si>
    <t xml:space="preserve"> GARY J</t>
  </si>
  <si>
    <t>madoreg@myfairpoint.net</t>
  </si>
  <si>
    <t>MAILMAN</t>
  </si>
  <si>
    <t xml:space="preserve"> GREGORY N</t>
  </si>
  <si>
    <t xml:space="preserve"> GERALD A</t>
  </si>
  <si>
    <t xml:space="preserve"> RODNEY</t>
  </si>
  <si>
    <t>SOUCY</t>
  </si>
  <si>
    <t xml:space="preserve"> MARK</t>
  </si>
  <si>
    <t>CLARK</t>
  </si>
  <si>
    <t xml:space="preserve"> JOHN</t>
  </si>
  <si>
    <t>MacDonald</t>
  </si>
  <si>
    <t>Brian</t>
  </si>
  <si>
    <t xml:space="preserve"> JIM NEAL</t>
  </si>
  <si>
    <t>O'BRIEN</t>
  </si>
  <si>
    <t xml:space="preserve"> JOE</t>
  </si>
  <si>
    <t>GRIFFIN</t>
  </si>
  <si>
    <t xml:space="preserve"> GARY</t>
  </si>
  <si>
    <t>FAX: 207-255-3707</t>
  </si>
  <si>
    <t>CHASSE</t>
  </si>
  <si>
    <t xml:space="preserve"> DON</t>
  </si>
  <si>
    <t xml:space="preserve"> ROBERT J</t>
  </si>
  <si>
    <t>PARSONS</t>
  </si>
  <si>
    <t xml:space="preserve"> DAVID</t>
  </si>
  <si>
    <t xml:space="preserve"> NANCY</t>
  </si>
  <si>
    <t xml:space="preserve"> STEPHEN</t>
  </si>
  <si>
    <t>HAMMOND</t>
  </si>
  <si>
    <t xml:space="preserve"> ROBERT</t>
  </si>
  <si>
    <t xml:space="preserve"> LOUISE</t>
  </si>
  <si>
    <t>DUMAIS</t>
  </si>
  <si>
    <t xml:space="preserve"> PHILIP</t>
  </si>
  <si>
    <t xml:space="preserve"> MATT</t>
  </si>
  <si>
    <t>HITCHCOCK</t>
  </si>
  <si>
    <t xml:space="preserve"> ALAN E</t>
  </si>
  <si>
    <t>Contact Information</t>
  </si>
  <si>
    <t>REMOVED FROM ANALYSIS BASED UPON SIZE AND/OR DATA AVAILABLE</t>
  </si>
  <si>
    <t>washburnwsd@myfairpoint.net</t>
  </si>
  <si>
    <t>REQUESTED</t>
  </si>
  <si>
    <t>Estimate of Additional People for Current Plant Capacity  (Plant-ADP/ APDPP</t>
  </si>
  <si>
    <t>Reports Used</t>
  </si>
  <si>
    <t>Systems for Contact: (All Systems were sent the data)</t>
  </si>
  <si>
    <t>Important column; some used for grading</t>
  </si>
  <si>
    <t>Letter Grad</t>
  </si>
  <si>
    <t>Segment Grade Calculations</t>
  </si>
  <si>
    <t>Total Grade</t>
  </si>
  <si>
    <t>USDA Rural Development Financial Indicators</t>
  </si>
  <si>
    <t>EPA/CUPSS Financial Ratios</t>
  </si>
  <si>
    <t>Mars Hill - Phone discussion with Bob 10/7/13</t>
  </si>
  <si>
    <t>Calais - Left message 10/7/13</t>
  </si>
  <si>
    <t>1989,1991,1993, line replacement. 1994 new Wtfilter plant.  Two of the six wells drilled in 2005 have been blending with Yound Lake to meet DBP.  15gpm per well for blending I summer. Growth of the service area is very limited.</t>
  </si>
  <si>
    <t>DOWNEAST CORRECTIONAL FACILITY - MACHIAS</t>
  </si>
  <si>
    <t>PRINCETON WATER DISTRICT - PRINCETON</t>
  </si>
  <si>
    <t>ADDISON POINT WATER DISTRICT - ADDISON</t>
  </si>
  <si>
    <t>LORING DEVELOPMENT AUTHORITY - LIMESTONE</t>
  </si>
  <si>
    <t>INDIAN TOWNSHIP TRIBAL WATER SYS - INDIAN TWP ST IND RS</t>
  </si>
  <si>
    <t>Fort Kent-Talked to Mark Souci 10/10/13</t>
  </si>
  <si>
    <t>Eastport-Left message 10/10/13</t>
  </si>
  <si>
    <t>Total Cumulative Depreciation  (W5a)</t>
  </si>
  <si>
    <t>The more points scored = the better system capacity for area development / growth opportunities</t>
  </si>
  <si>
    <t>Caribou - Email Response</t>
  </si>
  <si>
    <t>Lubec</t>
  </si>
  <si>
    <t>50%-98%</t>
  </si>
  <si>
    <t>99%-200%</t>
  </si>
  <si>
    <t>201%-300%</t>
  </si>
  <si>
    <t>301%-500%</t>
  </si>
  <si>
    <t>&gt;500%</t>
  </si>
  <si>
    <t>99%</t>
  </si>
  <si>
    <t>-63%</t>
  </si>
  <si>
    <t>327%</t>
  </si>
  <si>
    <t>113%</t>
  </si>
  <si>
    <t>Max*</t>
  </si>
  <si>
    <t>Avg*</t>
  </si>
  <si>
    <t xml:space="preserve">* High was discarded due being too excessive </t>
  </si>
  <si>
    <t>Source Protection</t>
  </si>
  <si>
    <t>Not graded: Majority metered customers</t>
  </si>
  <si>
    <t>&gt;50%</t>
  </si>
  <si>
    <t>41-50%</t>
  </si>
  <si>
    <t>31-40%</t>
  </si>
  <si>
    <t>21-30%</t>
  </si>
  <si>
    <t>Rates/MHI Ratio</t>
  </si>
  <si>
    <t>Average Residential Rate as % of MHI</t>
  </si>
  <si>
    <t xml:space="preserve"> (Average Monthly Cost *12) divided by Area MHI.</t>
  </si>
  <si>
    <t xml:space="preserve"> Current Assets divided by Current Liabilities.</t>
  </si>
  <si>
    <t xml:space="preserve"> (Net From Operations plus Depreciation) divided by Total debt Service.</t>
  </si>
  <si>
    <t>Debt Service per User</t>
  </si>
  <si>
    <t xml:space="preserve"> Total Annual Debt Service divided by Total Number of Connections.</t>
  </si>
  <si>
    <t>O&amp;M Ratio</t>
  </si>
  <si>
    <t xml:space="preserve"> (Total O&amp;M less Depreciation) divided by Gross Revenue.</t>
  </si>
  <si>
    <t>Indicator</t>
  </si>
  <si>
    <t>Calculation</t>
  </si>
  <si>
    <t>Long-Term Debt per Connection</t>
  </si>
  <si>
    <t>Connect</t>
  </si>
  <si>
    <t>Debt/connection</t>
  </si>
  <si>
    <t>Ratio</t>
  </si>
  <si>
    <t>Ratio of LT Debt per Connection ÷ Connection Grade</t>
  </si>
  <si>
    <t xml:space="preserve"> Ratio of LTDebt per Connections ÷ Connections  BX/(BN+BO)</t>
  </si>
  <si>
    <t>&lt;2</t>
  </si>
  <si>
    <t>&lt;5</t>
  </si>
  <si>
    <t>&gt;16</t>
  </si>
  <si>
    <t>&lt;17</t>
  </si>
  <si>
    <r>
      <t xml:space="preserve">Long-Term Debt per Connection </t>
    </r>
    <r>
      <rPr>
        <b/>
        <sz val="11"/>
        <color theme="1"/>
        <rFont val="Calibri"/>
        <family val="2"/>
      </rPr>
      <t>÷</t>
    </r>
    <r>
      <rPr>
        <b/>
        <i/>
        <sz val="9.9"/>
        <color theme="1"/>
        <rFont val="Calibri"/>
        <family val="2"/>
      </rPr>
      <t xml:space="preserve"> Connection</t>
    </r>
  </si>
  <si>
    <t>Ratio Analysis</t>
  </si>
  <si>
    <t>LT Debt per Connection / connection Ratio Analysis</t>
  </si>
  <si>
    <t>Letter Grades</t>
  </si>
  <si>
    <t>Mgmt</t>
  </si>
  <si>
    <t>Financial</t>
  </si>
  <si>
    <t>Totals</t>
  </si>
  <si>
    <r>
      <t xml:space="preserve">Rates </t>
    </r>
    <r>
      <rPr>
        <sz val="11"/>
        <color theme="1"/>
        <rFont val="Calibri"/>
        <family val="2"/>
      </rPr>
      <t>÷</t>
    </r>
    <r>
      <rPr>
        <sz val="11"/>
        <color theme="1"/>
        <rFont val="Calibri"/>
        <family val="2"/>
        <scheme val="minor"/>
      </rPr>
      <t xml:space="preserve"> MHI Ratio Grade</t>
    </r>
  </si>
  <si>
    <t>MAXIMUM POINTS</t>
  </si>
  <si>
    <t>UtIlity</t>
  </si>
  <si>
    <t>Tech</t>
  </si>
  <si>
    <t>Percentage of the Maximum Points</t>
  </si>
  <si>
    <t>Demogr</t>
  </si>
  <si>
    <t>MARS HILL AND BLAINE WATER CO</t>
  </si>
  <si>
    <t>TMF 1</t>
  </si>
  <si>
    <t>TMF 2</t>
  </si>
  <si>
    <t>TMF 3</t>
  </si>
  <si>
    <t>Grade Scoring</t>
  </si>
  <si>
    <t>&lt;33</t>
  </si>
  <si>
    <t>33-36</t>
  </si>
  <si>
    <t>37-41</t>
  </si>
  <si>
    <t>42-46</t>
  </si>
  <si>
    <t>&gt;46</t>
  </si>
  <si>
    <t>FAILURE TO DO A CCR (this was disputed by the superintendent)</t>
  </si>
  <si>
    <t>Annual rate</t>
  </si>
  <si>
    <t>CHRISTINE</t>
  </si>
  <si>
    <t>System ID</t>
  </si>
  <si>
    <t>System may have meters installed but data does not reveal if they reading them and relating their billing to the meter usage.</t>
  </si>
  <si>
    <t>ASHLAND WATER &amp; SEWER DIST</t>
  </si>
  <si>
    <t>PASSAMAQUODDY WATER DIST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</si>
</sst>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00000"/>
    <numFmt numFmtId="165" formatCode="0.0%"/>
    <numFmt numFmtId="166" formatCode="&quot;$&quot;#,##0.00"/>
    <numFmt numFmtId="167" formatCode="0.0"/>
    <numFmt numFmtId="168" formatCode="&quot;$&quot;#,##0"/>
    <numFmt numFmtId="169" formatCode="m/d/yy;@"/>
    <numFmt numFmtId="170" formatCode="0_);\(0\)"/>
  </numFmts>
  <fonts count="39" x14ac:knownFonts="1">
    <font>
      <sz val="11"/>
      <color theme="1"/>
      <name val="Calibri"/>
      <family val="2"/>
      <scheme val="minor"/>
    </font>
    <font>
      <b/>
      <sz val="11"/>
      <color theme="1"/>
      <name val="Calibri"/>
      <family val="2"/>
      <scheme val="minor"/>
    </font>
    <font>
      <b/>
      <sz val="11"/>
      <color indexed="8"/>
      <name val="Times New Roman"/>
      <family val="1"/>
    </font>
    <font>
      <sz val="9"/>
      <color indexed="8"/>
      <name val="Arial"/>
      <family val="2"/>
    </font>
    <font>
      <sz val="10"/>
      <color indexed="8"/>
      <name val="Arial"/>
      <family val="2"/>
    </font>
    <font>
      <b/>
      <sz val="24"/>
      <color theme="1"/>
      <name val="Calibri"/>
      <family val="2"/>
      <scheme val="minor"/>
    </font>
    <font>
      <sz val="8"/>
      <color indexed="81"/>
      <name val="Tahoma"/>
      <family val="2"/>
    </font>
    <font>
      <b/>
      <sz val="8"/>
      <color indexed="81"/>
      <name val="Tahoma"/>
      <family val="2"/>
    </font>
    <font>
      <sz val="11"/>
      <color theme="1"/>
      <name val="Calibri"/>
      <family val="2"/>
      <scheme val="minor"/>
    </font>
    <font>
      <sz val="12"/>
      <color indexed="8"/>
      <name val="Arial"/>
      <family val="2"/>
    </font>
    <font>
      <b/>
      <sz val="12"/>
      <color indexed="8"/>
      <name val="Arial"/>
      <family val="2"/>
    </font>
    <font>
      <sz val="12"/>
      <color theme="1"/>
      <name val="Arial"/>
      <family val="2"/>
    </font>
    <font>
      <b/>
      <sz val="16"/>
      <color theme="1"/>
      <name val="Calibri"/>
      <family val="2"/>
      <scheme val="minor"/>
    </font>
    <font>
      <sz val="11"/>
      <color theme="1"/>
      <name val="Calibri"/>
      <family val="2"/>
    </font>
    <font>
      <b/>
      <sz val="12"/>
      <color theme="1"/>
      <name val="Calibri"/>
      <family val="2"/>
      <scheme val="minor"/>
    </font>
    <font>
      <i/>
      <sz val="11"/>
      <color theme="1"/>
      <name val="Calibri"/>
      <family val="2"/>
      <scheme val="minor"/>
    </font>
    <font>
      <b/>
      <i/>
      <sz val="11"/>
      <color theme="1"/>
      <name val="Calibri"/>
      <family val="2"/>
      <scheme val="minor"/>
    </font>
    <font>
      <b/>
      <i/>
      <sz val="14"/>
      <color theme="1"/>
      <name val="Calibri"/>
      <family val="2"/>
      <scheme val="minor"/>
    </font>
    <font>
      <sz val="11"/>
      <color rgb="FFFF0000"/>
      <name val="Calibri"/>
      <family val="2"/>
      <scheme val="minor"/>
    </font>
    <font>
      <b/>
      <i/>
      <sz val="16"/>
      <color theme="1"/>
      <name val="Calibri"/>
      <family val="2"/>
      <scheme val="minor"/>
    </font>
    <font>
      <b/>
      <i/>
      <sz val="10"/>
      <color theme="1"/>
      <name val="Calibri"/>
      <family val="2"/>
      <scheme val="minor"/>
    </font>
    <font>
      <b/>
      <i/>
      <sz val="14"/>
      <color rgb="FFFF0000"/>
      <name val="Calibri"/>
      <family val="2"/>
      <scheme val="minor"/>
    </font>
    <font>
      <sz val="10"/>
      <color theme="1"/>
      <name val="Calibri"/>
      <family val="2"/>
      <scheme val="minor"/>
    </font>
    <font>
      <i/>
      <sz val="11"/>
      <color rgb="FFFF0000"/>
      <name val="Calibri"/>
      <family val="2"/>
      <scheme val="minor"/>
    </font>
    <font>
      <b/>
      <sz val="11"/>
      <color theme="1"/>
      <name val="Calibri"/>
      <family val="2"/>
    </font>
    <font>
      <b/>
      <i/>
      <sz val="11"/>
      <color theme="1"/>
      <name val="Calibri"/>
      <family val="2"/>
    </font>
    <font>
      <b/>
      <strike/>
      <sz val="11"/>
      <color theme="1"/>
      <name val="Calibri"/>
      <family val="2"/>
      <scheme val="minor"/>
    </font>
    <font>
      <b/>
      <sz val="11"/>
      <color theme="5" tint="-0.249977111117893"/>
      <name val="Calibri"/>
      <family val="2"/>
      <scheme val="minor"/>
    </font>
    <font>
      <b/>
      <i/>
      <sz val="11"/>
      <color rgb="FFFF0000"/>
      <name val="Calibri"/>
      <family val="2"/>
      <scheme val="minor"/>
    </font>
    <font>
      <sz val="8.5"/>
      <color theme="1"/>
      <name val="Calibri"/>
      <family val="2"/>
      <scheme val="minor"/>
    </font>
    <font>
      <sz val="7.05"/>
      <color theme="1"/>
      <name val="Calibri"/>
      <family val="2"/>
    </font>
    <font>
      <u/>
      <sz val="10"/>
      <color theme="1"/>
      <name val="Calibri"/>
      <family val="2"/>
      <scheme val="minor"/>
    </font>
    <font>
      <u/>
      <sz val="11"/>
      <color theme="10"/>
      <name val="Calibri"/>
      <family val="2"/>
      <scheme val="minor"/>
    </font>
    <font>
      <sz val="10"/>
      <color theme="1"/>
      <name val="Arial"/>
      <family val="2"/>
    </font>
    <font>
      <b/>
      <u/>
      <sz val="16"/>
      <color theme="1"/>
      <name val="Arial"/>
      <family val="2"/>
    </font>
    <font>
      <b/>
      <sz val="14"/>
      <color theme="1"/>
      <name val="Arial"/>
      <family val="2"/>
    </font>
    <font>
      <b/>
      <sz val="14"/>
      <color theme="1"/>
      <name val="Calibri"/>
      <family val="2"/>
      <scheme val="minor"/>
    </font>
    <font>
      <sz val="12"/>
      <color theme="1"/>
      <name val="Calibri"/>
      <family val="2"/>
      <scheme val="minor"/>
    </font>
    <font>
      <b/>
      <i/>
      <sz val="9.9"/>
      <color theme="1"/>
      <name val="Calibri"/>
      <family val="2"/>
    </font>
  </fonts>
  <fills count="2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CC3300"/>
        <bgColor indexed="64"/>
      </patternFill>
    </fill>
    <fill>
      <patternFill patternType="solid">
        <fgColor theme="5" tint="0.39997558519241921"/>
        <bgColor indexed="64"/>
      </patternFill>
    </fill>
    <fill>
      <patternFill patternType="solid">
        <fgColor theme="2" tint="-9.9978637043366805E-2"/>
        <bgColor indexed="64"/>
      </patternFill>
    </fill>
  </fills>
  <borders count="108">
    <border>
      <left/>
      <right/>
      <top/>
      <bottom/>
      <diagonal/>
    </border>
    <border>
      <left/>
      <right/>
      <top/>
      <bottom style="double">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double">
        <color auto="1"/>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double">
        <color auto="1"/>
      </bottom>
      <diagonal/>
    </border>
    <border>
      <left style="thin">
        <color auto="1"/>
      </left>
      <right style="medium">
        <color auto="1"/>
      </right>
      <top/>
      <bottom style="thin">
        <color auto="1"/>
      </bottom>
      <diagonal/>
    </border>
    <border>
      <left/>
      <right style="medium">
        <color auto="1"/>
      </right>
      <top style="medium">
        <color auto="1"/>
      </top>
      <bottom style="double">
        <color auto="1"/>
      </bottom>
      <diagonal/>
    </border>
    <border>
      <left style="medium">
        <color auto="1"/>
      </left>
      <right style="thin">
        <color auto="1"/>
      </right>
      <top/>
      <bottom style="thin">
        <color auto="1"/>
      </bottom>
      <diagonal/>
    </border>
    <border>
      <left/>
      <right style="medium">
        <color auto="1"/>
      </right>
      <top/>
      <bottom style="double">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double">
        <color auto="1"/>
      </bottom>
      <diagonal/>
    </border>
    <border>
      <left/>
      <right/>
      <top style="medium">
        <color auto="1"/>
      </top>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top/>
      <bottom style="thin">
        <color auto="1"/>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bottom style="thin">
        <color auto="1"/>
      </bottom>
      <diagonal/>
    </border>
    <border>
      <left style="double">
        <color auto="1"/>
      </left>
      <right style="thin">
        <color auto="1"/>
      </right>
      <top/>
      <bottom style="medium">
        <color auto="1"/>
      </bottom>
      <diagonal/>
    </border>
    <border>
      <left style="thin">
        <color auto="1"/>
      </left>
      <right/>
      <top style="medium">
        <color auto="1"/>
      </top>
      <bottom style="double">
        <color auto="1"/>
      </bottom>
      <diagonal/>
    </border>
    <border>
      <left style="double">
        <color auto="1"/>
      </left>
      <right/>
      <top style="medium">
        <color auto="1"/>
      </top>
      <bottom style="double">
        <color auto="1"/>
      </bottom>
      <diagonal/>
    </border>
    <border>
      <left style="double">
        <color auto="1"/>
      </left>
      <right/>
      <top/>
      <bottom style="double">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bottom style="thin">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right style="thin">
        <color auto="1"/>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style="thin">
        <color auto="1"/>
      </top>
      <bottom/>
      <diagonal/>
    </border>
    <border>
      <left style="medium">
        <color auto="1"/>
      </left>
      <right style="double">
        <color auto="1"/>
      </right>
      <top style="thin">
        <color auto="1"/>
      </top>
      <bottom style="medium">
        <color auto="1"/>
      </bottom>
      <diagonal/>
    </border>
    <border>
      <left style="thin">
        <color auto="1"/>
      </left>
      <right style="double">
        <color auto="1"/>
      </right>
      <top/>
      <bottom style="double">
        <color auto="1"/>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medium">
        <color auto="1"/>
      </bottom>
      <diagonal/>
    </border>
    <border>
      <left style="double">
        <color auto="1"/>
      </left>
      <right style="thin">
        <color auto="1"/>
      </right>
      <top style="thin">
        <color auto="1"/>
      </top>
      <bottom/>
      <diagonal/>
    </border>
    <border>
      <left style="medium">
        <color auto="1"/>
      </left>
      <right style="thin">
        <color auto="1"/>
      </right>
      <top style="thin">
        <color auto="1"/>
      </top>
      <bottom style="double">
        <color auto="1"/>
      </bottom>
      <diagonal/>
    </border>
    <border>
      <left style="double">
        <color auto="1"/>
      </left>
      <right style="thin">
        <color auto="1"/>
      </right>
      <top/>
      <bottom/>
      <diagonal/>
    </border>
    <border>
      <left style="double">
        <color auto="1"/>
      </left>
      <right/>
      <top style="thin">
        <color auto="1"/>
      </top>
      <bottom style="medium">
        <color auto="1"/>
      </bottom>
      <diagonal/>
    </border>
    <border>
      <left/>
      <right style="medium">
        <color auto="1"/>
      </right>
      <top style="thin">
        <color auto="1"/>
      </top>
      <bottom style="medium">
        <color auto="1"/>
      </bottom>
      <diagonal/>
    </border>
    <border>
      <left style="double">
        <color auto="1"/>
      </left>
      <right/>
      <top style="thin">
        <color auto="1"/>
      </top>
      <bottom/>
      <diagonal/>
    </border>
    <border>
      <left/>
      <right style="medium">
        <color auto="1"/>
      </right>
      <top style="thin">
        <color auto="1"/>
      </top>
      <bottom/>
      <diagonal/>
    </border>
    <border>
      <left style="double">
        <color auto="1"/>
      </left>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double">
        <color auto="1"/>
      </right>
      <top style="medium">
        <color auto="1"/>
      </top>
      <bottom style="double">
        <color auto="1"/>
      </bottom>
      <diagonal/>
    </border>
    <border>
      <left style="medium">
        <color auto="1"/>
      </left>
      <right style="double">
        <color auto="1"/>
      </right>
      <top/>
      <bottom style="thin">
        <color auto="1"/>
      </bottom>
      <diagonal/>
    </border>
    <border>
      <left style="medium">
        <color auto="1"/>
      </left>
      <right style="double">
        <color auto="1"/>
      </right>
      <top style="thin">
        <color auto="1"/>
      </top>
      <bottom style="thin">
        <color auto="1"/>
      </bottom>
      <diagonal/>
    </border>
    <border>
      <left style="thin">
        <color auto="1"/>
      </left>
      <right style="double">
        <color auto="1"/>
      </right>
      <top style="medium">
        <color auto="1"/>
      </top>
      <bottom style="double">
        <color auto="1"/>
      </bottom>
      <diagonal/>
    </border>
    <border>
      <left/>
      <right/>
      <top style="medium">
        <color auto="1"/>
      </top>
      <bottom style="double">
        <color auto="1"/>
      </bottom>
      <diagonal/>
    </border>
    <border>
      <left/>
      <right style="thin">
        <color auto="1"/>
      </right>
      <top/>
      <bottom style="medium">
        <color auto="1"/>
      </bottom>
      <diagonal/>
    </border>
    <border>
      <left/>
      <right style="double">
        <color auto="1"/>
      </right>
      <top style="thin">
        <color auto="1"/>
      </top>
      <bottom style="medium">
        <color auto="1"/>
      </bottom>
      <diagonal/>
    </border>
    <border>
      <left style="medium">
        <color auto="1"/>
      </left>
      <right style="thin">
        <color auto="1"/>
      </right>
      <top style="double">
        <color auto="1"/>
      </top>
      <bottom style="thin">
        <color auto="1"/>
      </bottom>
      <diagonal/>
    </border>
    <border>
      <left/>
      <right style="thin">
        <color auto="1"/>
      </right>
      <top style="thin">
        <color auto="1"/>
      </top>
      <bottom style="medium">
        <color auto="1"/>
      </bottom>
      <diagonal/>
    </border>
    <border>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double">
        <color auto="1"/>
      </right>
      <top style="thin">
        <color auto="1"/>
      </top>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style="thin">
        <color auto="1"/>
      </top>
      <bottom style="double">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double">
        <color auto="1"/>
      </left>
      <right style="medium">
        <color auto="1"/>
      </right>
      <top style="medium">
        <color auto="1"/>
      </top>
      <bottom style="thin">
        <color auto="1"/>
      </bottom>
      <diagonal/>
    </border>
    <border>
      <left style="double">
        <color auto="1"/>
      </left>
      <right style="medium">
        <color auto="1"/>
      </right>
      <top/>
      <bottom style="double">
        <color auto="1"/>
      </bottom>
      <diagonal/>
    </border>
    <border>
      <left style="double">
        <color auto="1"/>
      </left>
      <right style="medium">
        <color auto="1"/>
      </right>
      <top/>
      <bottom/>
      <diagonal/>
    </border>
    <border>
      <left style="double">
        <color auto="1"/>
      </left>
      <right style="medium">
        <color auto="1"/>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style="thin">
        <color auto="1"/>
      </top>
      <bottom style="medium">
        <color auto="1"/>
      </bottom>
      <diagonal/>
    </border>
    <border>
      <left style="double">
        <color auto="1"/>
      </left>
      <right style="medium">
        <color auto="1"/>
      </right>
      <top style="thin">
        <color auto="1"/>
      </top>
      <bottom style="medium">
        <color auto="1"/>
      </bottom>
      <diagonal/>
    </border>
    <border>
      <left style="double">
        <color auto="1"/>
      </left>
      <right style="medium">
        <color auto="1"/>
      </right>
      <top style="medium">
        <color auto="1"/>
      </top>
      <bottom/>
      <diagonal/>
    </border>
    <border>
      <left style="thin">
        <color auto="1"/>
      </left>
      <right style="double">
        <color auto="1"/>
      </right>
      <top style="medium">
        <color auto="1"/>
      </top>
      <bottom style="thin">
        <color auto="1"/>
      </bottom>
      <diagonal/>
    </border>
    <border>
      <left style="thin">
        <color auto="1"/>
      </left>
      <right style="double">
        <color auto="1"/>
      </right>
      <top/>
      <bottom style="medium">
        <color auto="1"/>
      </bottom>
      <diagonal/>
    </border>
  </borders>
  <cellStyleXfs count="5">
    <xf numFmtId="0" fontId="0" fillId="0" borderId="0"/>
    <xf numFmtId="44" fontId="8" fillId="0" borderId="0" applyFont="0" applyFill="0" applyBorder="0" applyAlignment="0" applyProtection="0"/>
    <xf numFmtId="0" fontId="32"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645">
    <xf numFmtId="0" fontId="0" fillId="0" borderId="0" xfId="0"/>
    <xf numFmtId="0" fontId="1" fillId="0" borderId="0" xfId="0" applyFont="1" applyAlignment="1">
      <alignment horizontal="center"/>
    </xf>
    <xf numFmtId="0" fontId="0" fillId="2" borderId="0" xfId="0" applyFill="1"/>
    <xf numFmtId="0" fontId="0" fillId="0" borderId="0" xfId="0" applyFill="1"/>
    <xf numFmtId="0" fontId="0" fillId="3" borderId="0" xfId="0" applyFill="1"/>
    <xf numFmtId="0" fontId="2" fillId="0" borderId="0" xfId="0" applyFont="1" applyBorder="1" applyAlignment="1">
      <alignment vertical="center" readingOrder="1"/>
    </xf>
    <xf numFmtId="1" fontId="2" fillId="0" borderId="0" xfId="0" applyNumberFormat="1" applyFont="1" applyBorder="1" applyAlignment="1">
      <alignment vertical="center" readingOrder="1"/>
    </xf>
    <xf numFmtId="0" fontId="0" fillId="0" borderId="0" xfId="0" applyBorder="1" applyAlignment="1">
      <alignment vertical="center" readingOrder="1"/>
    </xf>
    <xf numFmtId="0" fontId="3" fillId="0" borderId="0" xfId="0" applyFont="1" applyBorder="1" applyAlignment="1">
      <alignment vertical="center" readingOrder="1"/>
    </xf>
    <xf numFmtId="0" fontId="4" fillId="0" borderId="0" xfId="0" applyFont="1" applyBorder="1" applyAlignment="1">
      <alignment vertical="center" readingOrder="1"/>
    </xf>
    <xf numFmtId="0" fontId="4" fillId="0" borderId="0" xfId="0" applyNumberFormat="1" applyFont="1" applyBorder="1" applyAlignment="1">
      <alignment vertical="center" readingOrder="1"/>
    </xf>
    <xf numFmtId="164" fontId="3" fillId="0" borderId="0" xfId="0" applyNumberFormat="1" applyFont="1" applyBorder="1" applyAlignment="1">
      <alignment vertical="center" readingOrder="1"/>
    </xf>
    <xf numFmtId="0" fontId="0" fillId="2" borderId="0" xfId="0" applyFill="1" applyBorder="1" applyAlignment="1">
      <alignment vertical="center" readingOrder="1"/>
    </xf>
    <xf numFmtId="0" fontId="0" fillId="0" borderId="0" xfId="0" applyAlignment="1">
      <alignment horizontal="center"/>
    </xf>
    <xf numFmtId="0" fontId="1" fillId="0" borderId="1" xfId="0" applyFont="1" applyBorder="1"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14" fontId="0" fillId="0" borderId="0" xfId="0" applyNumberFormat="1" applyAlignment="1">
      <alignment horizontal="left" vertical="center" wrapText="1"/>
    </xf>
    <xf numFmtId="4" fontId="0" fillId="0" borderId="0" xfId="0" applyNumberFormat="1" applyAlignment="1">
      <alignment horizontal="left" vertical="center" wrapText="1"/>
    </xf>
    <xf numFmtId="0" fontId="1" fillId="0" borderId="1" xfId="0" applyFont="1" applyBorder="1" applyAlignment="1">
      <alignment horizontal="left" vertical="center" wrapText="1"/>
    </xf>
    <xf numFmtId="3" fontId="0" fillId="0" borderId="0" xfId="0" applyNumberFormat="1" applyAlignment="1">
      <alignment vertical="top"/>
    </xf>
    <xf numFmtId="0" fontId="0" fillId="0" borderId="0" xfId="0" applyAlignment="1">
      <alignment horizontal="right"/>
    </xf>
    <xf numFmtId="0" fontId="0" fillId="0" borderId="0" xfId="0" applyFill="1" applyAlignment="1">
      <alignment horizontal="right"/>
    </xf>
    <xf numFmtId="0" fontId="0" fillId="0" borderId="0" xfId="0" applyFill="1" applyAlignment="1">
      <alignment horizontal="center"/>
    </xf>
    <xf numFmtId="165" fontId="0" fillId="0" borderId="0" xfId="0" applyNumberFormat="1" applyFill="1" applyAlignment="1">
      <alignment horizontal="center"/>
    </xf>
    <xf numFmtId="165" fontId="0" fillId="0" borderId="0" xfId="0" applyNumberFormat="1" applyAlignment="1">
      <alignment horizontal="center"/>
    </xf>
    <xf numFmtId="9" fontId="0" fillId="0" borderId="0" xfId="0" applyNumberFormat="1" applyAlignment="1">
      <alignment horizontal="center"/>
    </xf>
    <xf numFmtId="0" fontId="0" fillId="0" borderId="0" xfId="0" applyFill="1" applyAlignment="1">
      <alignment horizontal="left" vertical="center" wrapText="1"/>
    </xf>
    <xf numFmtId="0" fontId="9" fillId="6" borderId="2" xfId="0" applyFont="1" applyFill="1" applyBorder="1" applyAlignment="1">
      <alignment horizontal="center"/>
    </xf>
    <xf numFmtId="0" fontId="10" fillId="6" borderId="2" xfId="0" applyFont="1" applyFill="1" applyBorder="1" applyAlignment="1">
      <alignment horizontal="center"/>
    </xf>
    <xf numFmtId="0" fontId="9" fillId="0" borderId="3" xfId="0" applyFont="1" applyFill="1" applyBorder="1" applyAlignment="1">
      <alignment horizontal="left" wrapText="1"/>
    </xf>
    <xf numFmtId="49" fontId="9" fillId="0" borderId="3" xfId="0" applyNumberFormat="1" applyFont="1" applyFill="1" applyBorder="1" applyAlignment="1">
      <alignment horizontal="left" wrapText="1"/>
    </xf>
    <xf numFmtId="0" fontId="9" fillId="0" borderId="3" xfId="0" applyFont="1" applyFill="1" applyBorder="1" applyAlignment="1">
      <alignment horizontal="right" wrapText="1"/>
    </xf>
    <xf numFmtId="0" fontId="10" fillId="0" borderId="0" xfId="0" applyFont="1"/>
    <xf numFmtId="0" fontId="11" fillId="0" borderId="0" xfId="0" applyFont="1"/>
    <xf numFmtId="44" fontId="11" fillId="0" borderId="0" xfId="1" applyFont="1"/>
    <xf numFmtId="44" fontId="11" fillId="0" borderId="0" xfId="1" applyFont="1" applyFill="1"/>
    <xf numFmtId="0" fontId="11" fillId="0" borderId="0" xfId="0" applyFont="1" applyFill="1"/>
    <xf numFmtId="0" fontId="9" fillId="4" borderId="3" xfId="0" applyFont="1" applyFill="1" applyBorder="1" applyAlignment="1">
      <alignment horizontal="left" wrapText="1"/>
    </xf>
    <xf numFmtId="0" fontId="9" fillId="4" borderId="3" xfId="0" applyFont="1" applyFill="1" applyBorder="1" applyAlignment="1">
      <alignment horizontal="right" wrapText="1"/>
    </xf>
    <xf numFmtId="166" fontId="0" fillId="0" borderId="0" xfId="0" applyNumberFormat="1" applyAlignment="1">
      <alignment horizontal="right"/>
    </xf>
    <xf numFmtId="9" fontId="0" fillId="0" borderId="0" xfId="0" applyNumberFormat="1" applyFill="1" applyAlignment="1">
      <alignment vertical="top"/>
    </xf>
    <xf numFmtId="167" fontId="0" fillId="0" borderId="0" xfId="0" applyNumberFormat="1" applyAlignment="1">
      <alignment horizontal="center"/>
    </xf>
    <xf numFmtId="0" fontId="1" fillId="0" borderId="4" xfId="0" applyFont="1" applyBorder="1" applyAlignment="1">
      <alignment horizontal="right"/>
    </xf>
    <xf numFmtId="0" fontId="1" fillId="0" borderId="4" xfId="0" applyFont="1" applyBorder="1"/>
    <xf numFmtId="14" fontId="0" fillId="0" borderId="0" xfId="0" applyNumberFormat="1" applyFill="1" applyAlignment="1">
      <alignment horizontal="left" vertical="center" wrapText="1"/>
    </xf>
    <xf numFmtId="3" fontId="0" fillId="0" borderId="0" xfId="0" applyNumberFormat="1" applyFill="1" applyAlignment="1">
      <alignment vertical="top"/>
    </xf>
    <xf numFmtId="167" fontId="0" fillId="0" borderId="0" xfId="0" applyNumberFormat="1" applyFill="1" applyAlignment="1">
      <alignment horizontal="center"/>
    </xf>
    <xf numFmtId="9" fontId="0" fillId="0" borderId="0" xfId="0" applyNumberFormat="1" applyFill="1" applyAlignment="1">
      <alignment horizontal="center"/>
    </xf>
    <xf numFmtId="166" fontId="0" fillId="0" borderId="0" xfId="0" applyNumberFormat="1" applyFill="1" applyAlignment="1">
      <alignment horizontal="right"/>
    </xf>
    <xf numFmtId="14" fontId="0" fillId="0" borderId="0" xfId="0" applyNumberFormat="1" applyFill="1" applyAlignment="1">
      <alignment horizontal="right"/>
    </xf>
    <xf numFmtId="0" fontId="1" fillId="0" borderId="4" xfId="0" applyFont="1" applyBorder="1" applyAlignment="1">
      <alignment horizontal="center"/>
    </xf>
    <xf numFmtId="168" fontId="0" fillId="0" borderId="0" xfId="0" applyNumberFormat="1"/>
    <xf numFmtId="168" fontId="0" fillId="0" borderId="0" xfId="0" applyNumberFormat="1" applyFill="1"/>
    <xf numFmtId="2" fontId="0" fillId="0" borderId="0" xfId="0" applyNumberFormat="1" applyFill="1" applyAlignment="1">
      <alignment horizontal="center"/>
    </xf>
    <xf numFmtId="3" fontId="0" fillId="0" borderId="0" xfId="0" applyNumberFormat="1" applyFill="1"/>
    <xf numFmtId="2" fontId="0" fillId="0" borderId="0" xfId="0" applyNumberFormat="1" applyAlignment="1">
      <alignment horizontal="center"/>
    </xf>
    <xf numFmtId="0" fontId="0" fillId="0" borderId="0" xfId="0" applyFill="1" applyAlignment="1">
      <alignment horizontal="center" vertical="center"/>
    </xf>
    <xf numFmtId="169" fontId="0" fillId="0" borderId="0" xfId="0" applyNumberFormat="1" applyFill="1" applyAlignment="1">
      <alignment horizontal="center"/>
    </xf>
    <xf numFmtId="169" fontId="0" fillId="0" borderId="0" xfId="0" applyNumberFormat="1" applyAlignment="1">
      <alignment horizontal="center"/>
    </xf>
    <xf numFmtId="1" fontId="0" fillId="0" borderId="0" xfId="0" applyNumberFormat="1" applyFill="1" applyAlignment="1">
      <alignment horizontal="center"/>
    </xf>
    <xf numFmtId="1" fontId="0" fillId="0" borderId="0" xfId="0" applyNumberFormat="1" applyAlignment="1">
      <alignment horizontal="center"/>
    </xf>
    <xf numFmtId="0" fontId="0" fillId="0" borderId="0" xfId="0" applyAlignment="1">
      <alignment horizontal="center" vertical="center"/>
    </xf>
    <xf numFmtId="0" fontId="0" fillId="0" borderId="8" xfId="0" applyBorder="1" applyAlignment="1">
      <alignment horizontal="left" vertical="top" wrapText="1"/>
    </xf>
    <xf numFmtId="0" fontId="14" fillId="0" borderId="6" xfId="0" applyFont="1" applyBorder="1" applyAlignment="1">
      <alignment horizontal="center" vertical="center"/>
    </xf>
    <xf numFmtId="0" fontId="15" fillId="0" borderId="7" xfId="0" applyFont="1" applyBorder="1" applyAlignment="1">
      <alignment horizontal="center" vertical="center"/>
    </xf>
    <xf numFmtId="3" fontId="0" fillId="0" borderId="0" xfId="0" applyNumberFormat="1" applyFill="1" applyAlignment="1">
      <alignment horizontal="right"/>
    </xf>
    <xf numFmtId="0" fontId="0" fillId="0" borderId="14" xfId="0" applyFill="1" applyBorder="1"/>
    <xf numFmtId="165" fontId="0" fillId="0" borderId="0" xfId="0" applyNumberFormat="1" applyFill="1" applyBorder="1" applyAlignment="1">
      <alignment horizontal="center" vertical="center"/>
    </xf>
    <xf numFmtId="3" fontId="0" fillId="0" borderId="0" xfId="0" applyNumberFormat="1" applyFill="1" applyBorder="1" applyAlignment="1">
      <alignment vertical="center"/>
    </xf>
    <xf numFmtId="169" fontId="0" fillId="0" borderId="0" xfId="0" applyNumberFormat="1" applyFill="1" applyBorder="1" applyAlignment="1">
      <alignment horizontal="center"/>
    </xf>
    <xf numFmtId="0" fontId="0" fillId="0" borderId="0" xfId="0" applyFill="1" applyBorder="1" applyAlignment="1">
      <alignment horizontal="center" vertical="center"/>
    </xf>
    <xf numFmtId="3" fontId="0" fillId="0" borderId="0" xfId="0" applyNumberFormat="1" applyFill="1" applyBorder="1" applyAlignment="1">
      <alignment horizontal="center" vertical="center"/>
    </xf>
    <xf numFmtId="2" fontId="0" fillId="0" borderId="0" xfId="0" applyNumberFormat="1" applyFill="1" applyBorder="1" applyAlignment="1">
      <alignment horizontal="center" vertical="center"/>
    </xf>
    <xf numFmtId="9" fontId="0" fillId="0" borderId="0" xfId="0" applyNumberFormat="1" applyFill="1" applyBorder="1" applyAlignment="1">
      <alignment horizontal="center" vertical="center"/>
    </xf>
    <xf numFmtId="169" fontId="0" fillId="0" borderId="0" xfId="0" applyNumberFormat="1" applyFill="1" applyBorder="1" applyAlignment="1">
      <alignment horizontal="center" vertical="center"/>
    </xf>
    <xf numFmtId="10" fontId="0" fillId="0" borderId="0" xfId="0" applyNumberFormat="1" applyFill="1" applyBorder="1" applyAlignment="1">
      <alignment vertical="center"/>
    </xf>
    <xf numFmtId="14" fontId="0" fillId="0" borderId="0" xfId="0" applyNumberFormat="1" applyFill="1" applyBorder="1" applyAlignment="1">
      <alignment horizontal="right"/>
    </xf>
    <xf numFmtId="166" fontId="0" fillId="0" borderId="0" xfId="0" applyNumberFormat="1" applyFill="1" applyBorder="1" applyAlignment="1">
      <alignment horizontal="right" vertical="center" wrapText="1"/>
    </xf>
    <xf numFmtId="166" fontId="0" fillId="0" borderId="0" xfId="0" applyNumberFormat="1" applyFill="1" applyBorder="1" applyAlignment="1">
      <alignment horizontal="right" vertical="center"/>
    </xf>
    <xf numFmtId="14" fontId="0" fillId="0" borderId="0" xfId="0" applyNumberFormat="1" applyFill="1" applyBorder="1" applyAlignment="1">
      <alignment horizontal="right" vertical="center"/>
    </xf>
    <xf numFmtId="0" fontId="0" fillId="0" borderId="0" xfId="0" applyFill="1" applyBorder="1" applyAlignment="1">
      <alignment horizontal="right" vertical="center"/>
    </xf>
    <xf numFmtId="168" fontId="0" fillId="0" borderId="0" xfId="0" applyNumberFormat="1" applyFill="1" applyBorder="1" applyAlignment="1">
      <alignment horizontal="right" vertical="center"/>
    </xf>
    <xf numFmtId="168" fontId="0" fillId="0" borderId="0" xfId="0" applyNumberFormat="1" applyFill="1" applyBorder="1" applyAlignment="1">
      <alignment vertical="center"/>
    </xf>
    <xf numFmtId="4" fontId="0" fillId="0" borderId="0" xfId="0" applyNumberFormat="1" applyFill="1" applyBorder="1" applyAlignment="1">
      <alignment horizontal="center" vertical="center"/>
    </xf>
    <xf numFmtId="3" fontId="0" fillId="0" borderId="0" xfId="0" applyNumberFormat="1" applyAlignment="1">
      <alignment horizontal="right"/>
    </xf>
    <xf numFmtId="0" fontId="0" fillId="0" borderId="0" xfId="0" applyAlignment="1">
      <alignment horizontal="center" vertical="center"/>
    </xf>
    <xf numFmtId="0" fontId="1" fillId="0" borderId="20" xfId="0" applyFont="1" applyBorder="1" applyAlignment="1">
      <alignment horizontal="center" vertical="center" wrapText="1"/>
    </xf>
    <xf numFmtId="0" fontId="1" fillId="0" borderId="7" xfId="0" applyFont="1" applyBorder="1" applyAlignment="1">
      <alignment horizontal="center" vertical="center" wrapText="1"/>
    </xf>
    <xf numFmtId="0" fontId="0" fillId="4" borderId="20" xfId="0" applyFill="1" applyBorder="1"/>
    <xf numFmtId="0" fontId="0" fillId="0" borderId="20" xfId="0" applyBorder="1" applyAlignment="1">
      <alignment horizontal="center"/>
    </xf>
    <xf numFmtId="0" fontId="0" fillId="0" borderId="20" xfId="0" applyBorder="1"/>
    <xf numFmtId="0" fontId="0" fillId="8" borderId="20" xfId="0" applyFill="1" applyBorder="1" applyAlignment="1">
      <alignment horizontal="center"/>
    </xf>
    <xf numFmtId="0" fontId="0" fillId="0" borderId="20" xfId="0" applyFill="1" applyBorder="1"/>
    <xf numFmtId="0" fontId="0" fillId="0" borderId="21" xfId="0" applyFill="1" applyBorder="1" applyAlignment="1">
      <alignment horizontal="center"/>
    </xf>
    <xf numFmtId="0" fontId="0" fillId="0" borderId="9" xfId="0" applyBorder="1" applyAlignment="1">
      <alignment horizontal="center"/>
    </xf>
    <xf numFmtId="0" fontId="1" fillId="0" borderId="0" xfId="0" applyFont="1" applyAlignment="1">
      <alignment horizontal="center" vertical="center"/>
    </xf>
    <xf numFmtId="0" fontId="16" fillId="0" borderId="0" xfId="0" applyFont="1"/>
    <xf numFmtId="0" fontId="0" fillId="0" borderId="0" xfId="0" applyFont="1" applyBorder="1" applyAlignment="1"/>
    <xf numFmtId="0" fontId="0" fillId="0" borderId="14" xfId="0" applyFill="1" applyBorder="1" applyAlignment="1">
      <alignment horizontal="left" vertical="center"/>
    </xf>
    <xf numFmtId="0" fontId="0" fillId="0" borderId="0" xfId="0" applyFill="1" applyBorder="1" applyAlignment="1">
      <alignment horizontal="left" vertical="center"/>
    </xf>
    <xf numFmtId="3" fontId="0" fillId="0" borderId="0" xfId="0" applyNumberFormat="1" applyFill="1" applyBorder="1" applyAlignment="1">
      <alignment horizontal="right" vertical="center"/>
    </xf>
    <xf numFmtId="10" fontId="0" fillId="0" borderId="0" xfId="0" applyNumberFormat="1" applyFill="1" applyBorder="1" applyAlignment="1">
      <alignment horizontal="right" vertical="center"/>
    </xf>
    <xf numFmtId="1" fontId="0" fillId="0" borderId="0" xfId="0" applyNumberFormat="1" applyFill="1" applyBorder="1" applyAlignment="1">
      <alignment horizontal="center"/>
    </xf>
    <xf numFmtId="0" fontId="0" fillId="0" borderId="21" xfId="0" applyBorder="1" applyAlignment="1">
      <alignment horizontal="center"/>
    </xf>
    <xf numFmtId="0" fontId="0" fillId="8" borderId="25" xfId="0" applyFill="1" applyBorder="1" applyAlignment="1">
      <alignment horizontal="center"/>
    </xf>
    <xf numFmtId="0" fontId="0" fillId="0" borderId="20" xfId="0"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0" xfId="0" applyFill="1" applyBorder="1"/>
    <xf numFmtId="0" fontId="0" fillId="0" borderId="0" xfId="0" applyFill="1" applyBorder="1" applyAlignment="1">
      <alignment vertical="center"/>
    </xf>
    <xf numFmtId="1" fontId="0" fillId="0" borderId="0" xfId="0" applyNumberFormat="1" applyFill="1" applyBorder="1" applyAlignment="1">
      <alignment horizontal="center" vertical="center"/>
    </xf>
    <xf numFmtId="0" fontId="0" fillId="0" borderId="27" xfId="0" applyBorder="1"/>
    <xf numFmtId="0" fontId="0" fillId="0" borderId="29" xfId="0" applyBorder="1"/>
    <xf numFmtId="0" fontId="0" fillId="0" borderId="26" xfId="0" applyBorder="1"/>
    <xf numFmtId="0" fontId="0" fillId="0" borderId="28" xfId="0" applyBorder="1"/>
    <xf numFmtId="0" fontId="0" fillId="0" borderId="0" xfId="0" applyBorder="1"/>
    <xf numFmtId="0" fontId="0" fillId="0" borderId="31" xfId="0" applyBorder="1"/>
    <xf numFmtId="0" fontId="0" fillId="0" borderId="26" xfId="0" applyFill="1" applyBorder="1" applyAlignment="1">
      <alignment horizontal="right"/>
    </xf>
    <xf numFmtId="0" fontId="0" fillId="0" borderId="33" xfId="0" applyFill="1" applyBorder="1" applyAlignment="1">
      <alignment horizontal="right"/>
    </xf>
    <xf numFmtId="0" fontId="15" fillId="0" borderId="0" xfId="0" applyFont="1" applyBorder="1" applyAlignment="1">
      <alignment horizontal="right"/>
    </xf>
    <xf numFmtId="0" fontId="0" fillId="0" borderId="0" xfId="0" quotePrefix="1" applyBorder="1" applyAlignment="1">
      <alignment horizontal="right"/>
    </xf>
    <xf numFmtId="9" fontId="0" fillId="0" borderId="0" xfId="0" applyNumberFormat="1" applyFill="1" applyBorder="1" applyAlignment="1">
      <alignment vertical="center"/>
    </xf>
    <xf numFmtId="0" fontId="16" fillId="0" borderId="0" xfId="0" applyFont="1" applyBorder="1" applyAlignment="1">
      <alignment horizontal="center" vertical="center"/>
    </xf>
    <xf numFmtId="0" fontId="15" fillId="0" borderId="36" xfId="0" quotePrefix="1" applyFont="1" applyBorder="1" applyAlignment="1">
      <alignment horizontal="center"/>
    </xf>
    <xf numFmtId="0" fontId="15" fillId="0" borderId="33" xfId="0" quotePrefix="1" applyFont="1" applyBorder="1" applyAlignment="1">
      <alignment horizontal="left"/>
    </xf>
    <xf numFmtId="1" fontId="0" fillId="0" borderId="0" xfId="0" applyNumberFormat="1"/>
    <xf numFmtId="1" fontId="0" fillId="0" borderId="0" xfId="0" applyNumberFormat="1" applyFill="1" applyBorder="1" applyAlignment="1">
      <alignment horizontal="left"/>
    </xf>
    <xf numFmtId="0" fontId="16" fillId="0" borderId="0" xfId="0" applyFont="1" applyBorder="1" applyAlignment="1">
      <alignment vertical="center"/>
    </xf>
    <xf numFmtId="1" fontId="0" fillId="0" borderId="0" xfId="0" applyNumberFormat="1" applyFill="1" applyBorder="1" applyAlignment="1">
      <alignment vertical="center"/>
    </xf>
    <xf numFmtId="0" fontId="0" fillId="0" borderId="26" xfId="0" quotePrefix="1" applyBorder="1"/>
    <xf numFmtId="9" fontId="0" fillId="0" borderId="28" xfId="0" applyNumberFormat="1" applyFill="1" applyBorder="1" applyAlignment="1">
      <alignment horizontal="right"/>
    </xf>
    <xf numFmtId="0" fontId="15" fillId="0" borderId="15" xfId="0" quotePrefix="1" applyFont="1" applyBorder="1" applyAlignment="1">
      <alignment horizontal="center"/>
    </xf>
    <xf numFmtId="0" fontId="0" fillId="0" borderId="33" xfId="0" applyBorder="1"/>
    <xf numFmtId="0" fontId="0" fillId="0" borderId="40" xfId="0" applyBorder="1" applyAlignment="1">
      <alignment horizontal="center"/>
    </xf>
    <xf numFmtId="2" fontId="0" fillId="0" borderId="43" xfId="0" applyNumberFormat="1" applyBorder="1"/>
    <xf numFmtId="0" fontId="0" fillId="0" borderId="40" xfId="0" applyFont="1" applyBorder="1" applyAlignment="1">
      <alignment horizontal="center"/>
    </xf>
    <xf numFmtId="0" fontId="0" fillId="0" borderId="44" xfId="0" applyBorder="1" applyAlignment="1">
      <alignment horizontal="center"/>
    </xf>
    <xf numFmtId="1" fontId="0" fillId="0" borderId="41" xfId="0" applyNumberFormat="1" applyBorder="1"/>
    <xf numFmtId="1" fontId="0" fillId="0" borderId="45" xfId="0" applyNumberFormat="1" applyBorder="1"/>
    <xf numFmtId="1" fontId="0" fillId="0" borderId="46" xfId="0" applyNumberFormat="1" applyBorder="1"/>
    <xf numFmtId="9" fontId="0" fillId="0" borderId="45" xfId="0" applyNumberFormat="1" applyBorder="1"/>
    <xf numFmtId="9" fontId="0" fillId="0" borderId="46" xfId="0" applyNumberFormat="1" applyBorder="1"/>
    <xf numFmtId="0" fontId="15" fillId="0" borderId="47" xfId="0" applyFont="1" applyBorder="1" applyAlignment="1">
      <alignment horizontal="center"/>
    </xf>
    <xf numFmtId="10" fontId="0" fillId="0" borderId="45" xfId="0" applyNumberFormat="1" applyBorder="1"/>
    <xf numFmtId="10" fontId="0" fillId="0" borderId="46" xfId="0" applyNumberFormat="1" applyBorder="1"/>
    <xf numFmtId="0" fontId="15" fillId="0" borderId="19" xfId="0" applyFont="1" applyBorder="1" applyAlignment="1">
      <alignment horizontal="center"/>
    </xf>
    <xf numFmtId="168" fontId="0" fillId="0" borderId="45" xfId="0" applyNumberFormat="1" applyBorder="1"/>
    <xf numFmtId="9" fontId="0" fillId="0" borderId="42" xfId="0" applyNumberFormat="1" applyBorder="1"/>
    <xf numFmtId="168" fontId="0" fillId="0" borderId="50" xfId="0" applyNumberFormat="1" applyBorder="1"/>
    <xf numFmtId="0" fontId="0" fillId="0" borderId="0" xfId="0" applyAlignment="1">
      <alignment vertical="center" wrapText="1"/>
    </xf>
    <xf numFmtId="1" fontId="0" fillId="0" borderId="0" xfId="0" applyNumberFormat="1" applyFill="1" applyBorder="1" applyAlignment="1">
      <alignment horizontal="right" vertical="center"/>
    </xf>
    <xf numFmtId="165" fontId="0" fillId="0" borderId="0" xfId="0" applyNumberFormat="1" applyFill="1" applyBorder="1" applyAlignment="1">
      <alignment vertical="center"/>
    </xf>
    <xf numFmtId="0" fontId="15" fillId="0" borderId="18" xfId="0" applyFont="1" applyBorder="1"/>
    <xf numFmtId="1" fontId="0" fillId="7" borderId="20" xfId="0" applyNumberFormat="1" applyFill="1" applyBorder="1" applyAlignment="1">
      <alignment horizontal="center" vertical="center"/>
    </xf>
    <xf numFmtId="0" fontId="0" fillId="0" borderId="37" xfId="0" applyBorder="1"/>
    <xf numFmtId="0" fontId="0" fillId="0" borderId="0" xfId="0" applyFont="1"/>
    <xf numFmtId="0" fontId="1" fillId="0" borderId="0" xfId="0" applyFont="1"/>
    <xf numFmtId="0" fontId="9" fillId="2" borderId="3" xfId="0" applyFont="1" applyFill="1" applyBorder="1" applyAlignment="1">
      <alignment horizontal="left" wrapText="1"/>
    </xf>
    <xf numFmtId="0" fontId="9" fillId="2" borderId="3" xfId="0" applyFont="1" applyFill="1" applyBorder="1" applyAlignment="1">
      <alignment horizontal="right" wrapText="1"/>
    </xf>
    <xf numFmtId="0" fontId="0" fillId="0" borderId="14" xfId="0" applyFill="1" applyBorder="1" applyAlignment="1">
      <alignment vertical="center"/>
    </xf>
    <xf numFmtId="0" fontId="0" fillId="0" borderId="0" xfId="0" applyFill="1" applyBorder="1" applyAlignment="1">
      <alignment vertical="center" wrapText="1"/>
    </xf>
    <xf numFmtId="168" fontId="18" fillId="0" borderId="0" xfId="0" applyNumberFormat="1" applyFont="1" applyFill="1" applyBorder="1" applyAlignment="1">
      <alignment vertical="center"/>
    </xf>
    <xf numFmtId="0" fontId="0" fillId="0" borderId="0" xfId="0" applyFill="1" applyAlignment="1">
      <alignment vertical="center"/>
    </xf>
    <xf numFmtId="9" fontId="0" fillId="0" borderId="0" xfId="0" applyNumberFormat="1" applyFill="1" applyBorder="1" applyAlignment="1">
      <alignment horizontal="right" vertical="center"/>
    </xf>
    <xf numFmtId="1" fontId="0" fillId="0" borderId="0" xfId="0" applyNumberFormat="1" applyFill="1" applyBorder="1" applyAlignment="1">
      <alignment horizontal="center" vertical="center" wrapText="1"/>
    </xf>
    <xf numFmtId="1" fontId="0" fillId="7" borderId="21" xfId="0" applyNumberFormat="1" applyFill="1" applyBorder="1" applyAlignment="1">
      <alignment horizontal="center" vertical="center"/>
    </xf>
    <xf numFmtId="9" fontId="0" fillId="0" borderId="0" xfId="0" quotePrefix="1" applyNumberFormat="1" applyFill="1" applyBorder="1" applyAlignment="1">
      <alignment horizontal="center" vertical="center"/>
    </xf>
    <xf numFmtId="0" fontId="0" fillId="0" borderId="0" xfId="0" quotePrefix="1" applyFill="1" applyBorder="1" applyAlignment="1">
      <alignment horizontal="center" vertical="center"/>
    </xf>
    <xf numFmtId="168" fontId="0" fillId="0" borderId="0" xfId="0" applyNumberFormat="1" applyFill="1" applyBorder="1" applyAlignment="1">
      <alignment horizontal="center" vertical="center"/>
    </xf>
    <xf numFmtId="1" fontId="0" fillId="0" borderId="0" xfId="0" applyNumberFormat="1" applyFill="1" applyBorder="1" applyAlignment="1">
      <alignment horizontal="left" vertical="center"/>
    </xf>
    <xf numFmtId="0" fontId="0" fillId="0" borderId="0" xfId="0" applyAlignment="1">
      <alignment vertical="center"/>
    </xf>
    <xf numFmtId="6" fontId="0" fillId="0" borderId="0" xfId="0" applyNumberFormat="1" applyFill="1" applyBorder="1" applyAlignment="1">
      <alignment vertical="center"/>
    </xf>
    <xf numFmtId="6" fontId="18" fillId="0" borderId="0" xfId="0" applyNumberFormat="1" applyFont="1" applyFill="1" applyBorder="1" applyAlignment="1">
      <alignment vertical="center"/>
    </xf>
    <xf numFmtId="6" fontId="0" fillId="0" borderId="0" xfId="0" applyNumberFormat="1" applyFill="1" applyBorder="1" applyAlignment="1">
      <alignment horizontal="right" vertical="center"/>
    </xf>
    <xf numFmtId="38" fontId="0" fillId="0" borderId="0" xfId="0" applyNumberFormat="1" applyFill="1" applyBorder="1" applyAlignment="1">
      <alignment horizontal="right" vertical="center"/>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1" fontId="0" fillId="3" borderId="7"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165" fontId="0" fillId="10" borderId="7" xfId="0" applyNumberFormat="1" applyFont="1" applyFill="1" applyBorder="1" applyAlignment="1">
      <alignment horizontal="center" vertical="center" wrapText="1"/>
    </xf>
    <xf numFmtId="165" fontId="0" fillId="7" borderId="7" xfId="0" applyNumberFormat="1" applyFont="1" applyFill="1" applyBorder="1" applyAlignment="1">
      <alignment horizontal="center" vertical="center" wrapText="1"/>
    </xf>
    <xf numFmtId="3" fontId="0" fillId="0" borderId="7" xfId="0" applyNumberFormat="1" applyFont="1" applyFill="1" applyBorder="1" applyAlignment="1">
      <alignment horizontal="center" vertical="center" wrapText="1"/>
    </xf>
    <xf numFmtId="3" fontId="0" fillId="0" borderId="7" xfId="0" applyNumberFormat="1" applyFont="1" applyBorder="1" applyAlignment="1">
      <alignment horizontal="center" vertical="center" wrapText="1"/>
    </xf>
    <xf numFmtId="1" fontId="0" fillId="7" borderId="7" xfId="0" applyNumberFormat="1" applyFont="1" applyFill="1" applyBorder="1" applyAlignment="1">
      <alignment horizontal="center" vertical="center" wrapText="1"/>
    </xf>
    <xf numFmtId="165" fontId="0" fillId="0" borderId="7" xfId="0" applyNumberFormat="1" applyFont="1" applyBorder="1" applyAlignment="1">
      <alignment horizontal="center" vertical="center" wrapText="1"/>
    </xf>
    <xf numFmtId="1" fontId="0" fillId="7" borderId="8" xfId="0" applyNumberFormat="1" applyFont="1" applyFill="1" applyBorder="1" applyAlignment="1">
      <alignment horizontal="center" vertical="center" wrapText="1"/>
    </xf>
    <xf numFmtId="165" fontId="0" fillId="7" borderId="8" xfId="0" applyNumberFormat="1" applyFont="1" applyFill="1" applyBorder="1" applyAlignment="1">
      <alignment horizontal="center" vertical="center" wrapText="1"/>
    </xf>
    <xf numFmtId="6" fontId="0" fillId="0" borderId="0" xfId="0" applyNumberFormat="1" applyFill="1" applyAlignment="1">
      <alignment horizontal="center" vertical="center"/>
    </xf>
    <xf numFmtId="6" fontId="0" fillId="0" borderId="0" xfId="0" applyNumberFormat="1"/>
    <xf numFmtId="6" fontId="0" fillId="0" borderId="0" xfId="0" applyNumberFormat="1" applyFill="1"/>
    <xf numFmtId="9" fontId="0" fillId="0" borderId="28" xfId="0" quotePrefix="1" applyNumberFormat="1" applyFill="1" applyBorder="1" applyAlignment="1">
      <alignment horizontal="right"/>
    </xf>
    <xf numFmtId="0" fontId="0" fillId="0" borderId="26" xfId="0" quotePrefix="1" applyFill="1" applyBorder="1" applyAlignment="1">
      <alignment horizontal="right"/>
    </xf>
    <xf numFmtId="0" fontId="1" fillId="9" borderId="20" xfId="0" applyFont="1" applyFill="1" applyBorder="1" applyAlignment="1">
      <alignment horizontal="center"/>
    </xf>
    <xf numFmtId="0" fontId="0" fillId="9" borderId="20" xfId="0" applyFill="1" applyBorder="1"/>
    <xf numFmtId="168" fontId="0" fillId="0" borderId="20" xfId="0" applyNumberFormat="1" applyBorder="1"/>
    <xf numFmtId="3" fontId="0" fillId="0" borderId="20" xfId="0" applyNumberFormat="1" applyBorder="1"/>
    <xf numFmtId="168" fontId="1" fillId="0" borderId="20" xfId="0" applyNumberFormat="1" applyFont="1" applyBorder="1"/>
    <xf numFmtId="0" fontId="1" fillId="0" borderId="20" xfId="0" applyFont="1" applyBorder="1"/>
    <xf numFmtId="2" fontId="1" fillId="0" borderId="20" xfId="0" applyNumberFormat="1" applyFont="1" applyBorder="1"/>
    <xf numFmtId="0" fontId="0" fillId="14" borderId="0" xfId="0" applyFill="1"/>
    <xf numFmtId="168" fontId="0" fillId="0" borderId="20" xfId="0" applyNumberFormat="1" applyFill="1" applyBorder="1"/>
    <xf numFmtId="3" fontId="0" fillId="0" borderId="20" xfId="0" applyNumberFormat="1" applyBorder="1" applyAlignment="1">
      <alignment vertical="center"/>
    </xf>
    <xf numFmtId="0" fontId="0" fillId="0" borderId="20" xfId="0" applyBorder="1" applyAlignment="1">
      <alignment vertical="center"/>
    </xf>
    <xf numFmtId="168" fontId="1" fillId="0" borderId="20" xfId="0" applyNumberFormat="1" applyFont="1" applyBorder="1" applyAlignment="1">
      <alignment vertical="center"/>
    </xf>
    <xf numFmtId="0" fontId="1" fillId="0" borderId="20" xfId="0" applyFont="1" applyBorder="1" applyAlignment="1">
      <alignment vertical="center"/>
    </xf>
    <xf numFmtId="2" fontId="1" fillId="0" borderId="20" xfId="0" applyNumberFormat="1" applyFont="1" applyBorder="1" applyAlignment="1">
      <alignment vertical="center"/>
    </xf>
    <xf numFmtId="0" fontId="1" fillId="0" borderId="0" xfId="0" applyFont="1" applyAlignment="1">
      <alignment vertical="center"/>
    </xf>
    <xf numFmtId="0" fontId="27" fillId="0" borderId="0" xfId="0" applyFont="1" applyFill="1" applyAlignment="1">
      <alignment horizontal="center" vertical="center"/>
    </xf>
    <xf numFmtId="3" fontId="27" fillId="9" borderId="12" xfId="0" applyNumberFormat="1" applyFont="1" applyFill="1" applyBorder="1" applyAlignment="1">
      <alignment horizontal="center" vertical="center"/>
    </xf>
    <xf numFmtId="0" fontId="27" fillId="9" borderId="12" xfId="0" applyFont="1" applyFill="1" applyBorder="1" applyAlignment="1">
      <alignment horizontal="center" vertical="center"/>
    </xf>
    <xf numFmtId="0" fontId="0" fillId="7" borderId="54" xfId="0" applyFont="1" applyFill="1" applyBorder="1" applyAlignment="1">
      <alignment horizontal="center" vertical="center" wrapText="1"/>
    </xf>
    <xf numFmtId="1" fontId="0" fillId="7" borderId="40" xfId="0" applyNumberFormat="1" applyFill="1" applyBorder="1" applyAlignment="1">
      <alignment horizontal="center" vertical="center"/>
    </xf>
    <xf numFmtId="0" fontId="0" fillId="0" borderId="56" xfId="0" applyFill="1" applyBorder="1" applyAlignment="1">
      <alignment vertical="center"/>
    </xf>
    <xf numFmtId="1" fontId="0" fillId="13" borderId="33" xfId="0" applyNumberFormat="1" applyFill="1" applyBorder="1" applyAlignment="1">
      <alignment horizontal="center" vertical="center"/>
    </xf>
    <xf numFmtId="0" fontId="0" fillId="3" borderId="7" xfId="0" applyFont="1" applyFill="1" applyBorder="1" applyAlignment="1">
      <alignment horizontal="center" vertical="center" wrapText="1"/>
    </xf>
    <xf numFmtId="0" fontId="0" fillId="3" borderId="54" xfId="0" applyFont="1" applyFill="1" applyBorder="1" applyAlignment="1">
      <alignment horizontal="center" vertical="center" wrapText="1"/>
    </xf>
    <xf numFmtId="0" fontId="0" fillId="10" borderId="7" xfId="0" applyFont="1" applyFill="1" applyBorder="1" applyAlignment="1">
      <alignment horizontal="center" vertical="center" wrapText="1"/>
    </xf>
    <xf numFmtId="9" fontId="0" fillId="10" borderId="7" xfId="0" applyNumberFormat="1" applyFont="1" applyFill="1" applyBorder="1" applyAlignment="1">
      <alignment horizontal="center" vertical="center" wrapText="1"/>
    </xf>
    <xf numFmtId="9" fontId="0" fillId="7" borderId="7" xfId="0" applyNumberFormat="1" applyFont="1" applyFill="1" applyBorder="1" applyAlignment="1">
      <alignment horizontal="center" vertical="center" wrapText="1"/>
    </xf>
    <xf numFmtId="9" fontId="0" fillId="0" borderId="7" xfId="0" applyNumberFormat="1" applyFont="1" applyFill="1" applyBorder="1" applyAlignment="1">
      <alignment horizontal="center" vertical="center" wrapText="1"/>
    </xf>
    <xf numFmtId="1" fontId="0" fillId="0" borderId="7" xfId="0" applyNumberFormat="1" applyFont="1" applyFill="1" applyBorder="1" applyAlignment="1">
      <alignment horizontal="center" vertical="center" wrapText="1"/>
    </xf>
    <xf numFmtId="9" fontId="0" fillId="0" borderId="7" xfId="0" applyNumberFormat="1" applyFont="1" applyBorder="1" applyAlignment="1">
      <alignment horizontal="center" vertical="center" wrapText="1"/>
    </xf>
    <xf numFmtId="166" fontId="0" fillId="10" borderId="7" xfId="0" applyNumberFormat="1" applyFont="1" applyFill="1" applyBorder="1" applyAlignment="1">
      <alignment horizontal="center" vertical="center" wrapText="1"/>
    </xf>
    <xf numFmtId="2" fontId="0" fillId="0" borderId="7" xfId="0" applyNumberFormat="1" applyFont="1" applyBorder="1" applyAlignment="1">
      <alignment horizontal="center" vertical="center" wrapText="1"/>
    </xf>
    <xf numFmtId="2" fontId="0" fillId="0" borderId="7" xfId="0" applyNumberFormat="1" applyFont="1" applyFill="1" applyBorder="1" applyAlignment="1">
      <alignment horizontal="center" vertical="center" wrapText="1"/>
    </xf>
    <xf numFmtId="0" fontId="0" fillId="7" borderId="7" xfId="0" applyFont="1" applyFill="1" applyBorder="1" applyAlignment="1">
      <alignment horizontal="center" vertical="center" wrapText="1"/>
    </xf>
    <xf numFmtId="1" fontId="0" fillId="3" borderId="57" xfId="0" applyNumberFormat="1" applyFont="1" applyFill="1" applyBorder="1" applyAlignment="1">
      <alignment horizontal="center" vertical="center" wrapText="1"/>
    </xf>
    <xf numFmtId="0" fontId="0" fillId="11" borderId="7" xfId="0" applyFont="1" applyFill="1" applyBorder="1" applyAlignment="1">
      <alignment horizontal="center" vertical="center" wrapText="1"/>
    </xf>
    <xf numFmtId="168" fontId="0" fillId="0" borderId="7" xfId="0" applyNumberFormat="1" applyFont="1" applyBorder="1" applyAlignment="1">
      <alignment horizontal="center" vertical="center" wrapText="1"/>
    </xf>
    <xf numFmtId="168" fontId="0" fillId="0" borderId="7" xfId="0" applyNumberFormat="1" applyFont="1" applyFill="1" applyBorder="1" applyAlignment="1">
      <alignment horizontal="center" vertical="center" wrapText="1"/>
    </xf>
    <xf numFmtId="6" fontId="0" fillId="0" borderId="7" xfId="0" applyNumberFormat="1" applyFont="1" applyBorder="1" applyAlignment="1">
      <alignment horizontal="center" vertical="center" wrapText="1"/>
    </xf>
    <xf numFmtId="0" fontId="0" fillId="5" borderId="7" xfId="0" applyFont="1" applyFill="1" applyBorder="1" applyAlignment="1">
      <alignment horizontal="center" vertical="center" wrapText="1"/>
    </xf>
    <xf numFmtId="168" fontId="0" fillId="10" borderId="7" xfId="0" applyNumberFormat="1" applyFont="1" applyFill="1" applyBorder="1" applyAlignment="1">
      <alignment horizontal="center" vertical="center" wrapText="1"/>
    </xf>
    <xf numFmtId="0" fontId="0" fillId="13"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22" fillId="0" borderId="51" xfId="0" applyFont="1" applyFill="1" applyBorder="1" applyAlignment="1">
      <alignment vertical="center"/>
    </xf>
    <xf numFmtId="0" fontId="22" fillId="0" borderId="52" xfId="0" applyFont="1" applyFill="1" applyBorder="1" applyAlignment="1">
      <alignment vertical="center" wrapText="1"/>
    </xf>
    <xf numFmtId="0" fontId="22" fillId="0" borderId="59" xfId="0" applyFont="1" applyFill="1" applyBorder="1" applyAlignment="1">
      <alignment vertical="center"/>
    </xf>
    <xf numFmtId="0" fontId="22" fillId="0" borderId="58" xfId="0" applyFont="1" applyFill="1" applyBorder="1" applyAlignment="1">
      <alignment vertical="center"/>
    </xf>
    <xf numFmtId="0" fontId="22" fillId="0" borderId="58" xfId="0" applyFont="1" applyBorder="1" applyAlignment="1">
      <alignment horizontal="left" vertical="center" wrapText="1"/>
    </xf>
    <xf numFmtId="0" fontId="22" fillId="0" borderId="59" xfId="0" applyFont="1" applyFill="1" applyBorder="1" applyAlignment="1">
      <alignment horizontal="left" vertical="center" wrapText="1"/>
    </xf>
    <xf numFmtId="0" fontId="22" fillId="0" borderId="59" xfId="0" applyFont="1" applyBorder="1" applyAlignment="1">
      <alignment horizontal="left" vertical="center" wrapText="1"/>
    </xf>
    <xf numFmtId="0" fontId="22" fillId="0" borderId="35" xfId="0" applyFont="1" applyBorder="1" applyAlignment="1">
      <alignment horizontal="left" vertical="center" wrapText="1"/>
    </xf>
    <xf numFmtId="0" fontId="22" fillId="0" borderId="50" xfId="0" applyFont="1" applyFill="1" applyBorder="1" applyAlignment="1">
      <alignment horizontal="left" vertical="center" wrapText="1"/>
    </xf>
    <xf numFmtId="0" fontId="0" fillId="0" borderId="0" xfId="0" applyFont="1" applyBorder="1" applyAlignment="1">
      <alignment horizontal="center" vertical="center" wrapText="1"/>
    </xf>
    <xf numFmtId="3" fontId="27" fillId="9" borderId="7" xfId="0" applyNumberFormat="1" applyFont="1" applyFill="1" applyBorder="1" applyAlignment="1">
      <alignment horizontal="center" vertical="center"/>
    </xf>
    <xf numFmtId="10" fontId="27" fillId="9" borderId="7" xfId="0" applyNumberFormat="1" applyFont="1" applyFill="1" applyBorder="1" applyAlignment="1">
      <alignment horizontal="center" vertical="center"/>
    </xf>
    <xf numFmtId="1" fontId="27" fillId="9" borderId="7" xfId="0" applyNumberFormat="1" applyFont="1" applyFill="1" applyBorder="1" applyAlignment="1">
      <alignment horizontal="center" vertical="center"/>
    </xf>
    <xf numFmtId="168" fontId="27" fillId="9" borderId="7" xfId="0" applyNumberFormat="1" applyFont="1" applyFill="1" applyBorder="1" applyAlignment="1">
      <alignment horizontal="center" vertical="center"/>
    </xf>
    <xf numFmtId="1" fontId="0" fillId="7" borderId="55" xfId="0" applyNumberFormat="1" applyFill="1" applyBorder="1" applyAlignment="1">
      <alignment horizontal="center" vertical="center"/>
    </xf>
    <xf numFmtId="1" fontId="0" fillId="7" borderId="27" xfId="0" applyNumberFormat="1" applyFill="1" applyBorder="1" applyAlignment="1">
      <alignment horizontal="center" vertical="center"/>
    </xf>
    <xf numFmtId="1" fontId="0" fillId="7" borderId="60" xfId="0" applyNumberFormat="1" applyFill="1" applyBorder="1" applyAlignment="1">
      <alignment horizontal="center" vertical="center"/>
    </xf>
    <xf numFmtId="2" fontId="0" fillId="0" borderId="57" xfId="0" applyNumberFormat="1" applyFont="1" applyBorder="1" applyAlignment="1">
      <alignment horizontal="center" vertical="center" wrapText="1"/>
    </xf>
    <xf numFmtId="3" fontId="27" fillId="9" borderId="57" xfId="0" applyNumberFormat="1" applyFont="1" applyFill="1" applyBorder="1" applyAlignment="1">
      <alignment horizontal="center" vertical="center"/>
    </xf>
    <xf numFmtId="1" fontId="0" fillId="7" borderId="31" xfId="0" applyNumberFormat="1" applyFill="1" applyBorder="1" applyAlignment="1">
      <alignment horizontal="center" vertical="center"/>
    </xf>
    <xf numFmtId="0" fontId="27" fillId="9" borderId="13" xfId="0" applyFont="1" applyFill="1" applyBorder="1" applyAlignment="1">
      <alignment horizontal="center" vertical="center"/>
    </xf>
    <xf numFmtId="166" fontId="0" fillId="0" borderId="57" xfId="0" applyNumberFormat="1" applyFont="1" applyBorder="1" applyAlignment="1">
      <alignment horizontal="center" vertical="center" wrapText="1"/>
    </xf>
    <xf numFmtId="166" fontId="27" fillId="9" borderId="57" xfId="0" applyNumberFormat="1" applyFont="1" applyFill="1" applyBorder="1" applyAlignment="1">
      <alignment horizontal="center" vertical="center"/>
    </xf>
    <xf numFmtId="0" fontId="0" fillId="0" borderId="8" xfId="0" applyFont="1" applyBorder="1" applyAlignment="1">
      <alignment horizontal="center" vertical="center" wrapText="1"/>
    </xf>
    <xf numFmtId="3" fontId="0" fillId="0" borderId="56" xfId="0" applyNumberFormat="1" applyFill="1" applyBorder="1" applyAlignment="1">
      <alignment vertical="center"/>
    </xf>
    <xf numFmtId="0" fontId="0" fillId="0" borderId="56" xfId="0" applyFill="1" applyBorder="1" applyAlignment="1">
      <alignment horizontal="right" vertical="center"/>
    </xf>
    <xf numFmtId="1" fontId="27" fillId="9" borderId="8" xfId="0" applyNumberFormat="1" applyFont="1" applyFill="1" applyBorder="1" applyAlignment="1">
      <alignment horizontal="center" vertical="center"/>
    </xf>
    <xf numFmtId="2" fontId="27" fillId="9" borderId="7" xfId="0" applyNumberFormat="1" applyFont="1" applyFill="1" applyBorder="1" applyAlignment="1">
      <alignment horizontal="center" vertical="center"/>
    </xf>
    <xf numFmtId="0" fontId="27" fillId="9" borderId="0" xfId="0" applyFont="1" applyFill="1" applyAlignment="1">
      <alignment horizontal="center" vertical="center"/>
    </xf>
    <xf numFmtId="1" fontId="27" fillId="0" borderId="0" xfId="0" applyNumberFormat="1" applyFont="1" applyFill="1" applyAlignment="1">
      <alignment horizontal="center" vertical="center"/>
    </xf>
    <xf numFmtId="0" fontId="27" fillId="0" borderId="0" xfId="0" applyFont="1" applyFill="1" applyAlignment="1">
      <alignment horizontal="right" vertical="center"/>
    </xf>
    <xf numFmtId="3" fontId="0" fillId="0" borderId="0" xfId="0" applyNumberFormat="1" applyBorder="1"/>
    <xf numFmtId="168" fontId="1" fillId="0" borderId="0" xfId="0" applyNumberFormat="1" applyFont="1" applyBorder="1"/>
    <xf numFmtId="0" fontId="1" fillId="0" borderId="0" xfId="0" applyFont="1" applyBorder="1"/>
    <xf numFmtId="2" fontId="1" fillId="0" borderId="0" xfId="0" applyNumberFormat="1" applyFont="1" applyBorder="1"/>
    <xf numFmtId="9" fontId="0" fillId="0" borderId="0" xfId="0" applyNumberFormat="1" applyFill="1" applyBorder="1" applyAlignment="1">
      <alignment horizontal="center" vertical="center" wrapText="1"/>
    </xf>
    <xf numFmtId="0" fontId="0" fillId="9" borderId="38" xfId="0" applyFill="1" applyBorder="1" applyAlignment="1">
      <alignment vertical="center"/>
    </xf>
    <xf numFmtId="10" fontId="27" fillId="9" borderId="54" xfId="0" applyNumberFormat="1" applyFont="1" applyFill="1" applyBorder="1" applyAlignment="1">
      <alignment horizontal="center" vertical="center"/>
    </xf>
    <xf numFmtId="0" fontId="27" fillId="9" borderId="57" xfId="0" applyFont="1" applyFill="1" applyBorder="1" applyAlignment="1">
      <alignment horizontal="center" vertical="center"/>
    </xf>
    <xf numFmtId="0" fontId="0" fillId="0" borderId="5" xfId="0" applyFill="1" applyBorder="1" applyAlignment="1">
      <alignment horizontal="right" vertical="center"/>
    </xf>
    <xf numFmtId="1" fontId="27" fillId="9" borderId="38" xfId="0" applyNumberFormat="1" applyFont="1" applyFill="1" applyBorder="1" applyAlignment="1">
      <alignment horizontal="center" vertical="center"/>
    </xf>
    <xf numFmtId="0" fontId="0" fillId="0" borderId="5" xfId="0" applyFill="1" applyBorder="1" applyAlignment="1">
      <alignment horizontal="center" vertical="center"/>
    </xf>
    <xf numFmtId="0" fontId="15" fillId="0" borderId="62" xfId="0" applyFont="1"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165" fontId="0" fillId="0" borderId="53" xfId="0" applyNumberFormat="1" applyBorder="1"/>
    <xf numFmtId="168" fontId="0" fillId="0" borderId="43" xfId="0" applyNumberFormat="1" applyBorder="1"/>
    <xf numFmtId="4" fontId="27" fillId="9" borderId="57" xfId="0" applyNumberFormat="1" applyFont="1" applyFill="1" applyBorder="1" applyAlignment="1">
      <alignment horizontal="center" vertical="center"/>
    </xf>
    <xf numFmtId="0" fontId="0" fillId="0" borderId="23" xfId="0" applyFill="1" applyBorder="1" applyAlignment="1">
      <alignment horizontal="center"/>
    </xf>
    <xf numFmtId="3" fontId="27" fillId="9" borderId="6" xfId="0" applyNumberFormat="1" applyFont="1" applyFill="1" applyBorder="1" applyAlignment="1">
      <alignment horizontal="center" vertical="center"/>
    </xf>
    <xf numFmtId="0" fontId="27" fillId="9" borderId="54" xfId="0" applyFont="1" applyFill="1" applyBorder="1" applyAlignment="1">
      <alignment horizontal="center" vertical="center"/>
    </xf>
    <xf numFmtId="0" fontId="0" fillId="0" borderId="0" xfId="0" applyFill="1" applyAlignment="1">
      <alignment horizontal="right" vertical="center"/>
    </xf>
    <xf numFmtId="2" fontId="27" fillId="9" borderId="54" xfId="0" applyNumberFormat="1" applyFont="1" applyFill="1" applyBorder="1" applyAlignment="1">
      <alignment horizontal="center" vertical="center"/>
    </xf>
    <xf numFmtId="3" fontId="27" fillId="9" borderId="54" xfId="0" applyNumberFormat="1" applyFont="1" applyFill="1"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wrapText="1"/>
    </xf>
    <xf numFmtId="168" fontId="0" fillId="0" borderId="7" xfId="0" applyNumberFormat="1" applyBorder="1" applyAlignment="1">
      <alignment horizontal="center" vertical="center" wrapText="1"/>
    </xf>
    <xf numFmtId="165" fontId="0" fillId="10" borderId="8" xfId="0" applyNumberFormat="1" applyFill="1" applyBorder="1" applyAlignment="1">
      <alignment horizontal="center" vertical="center" wrapText="1"/>
    </xf>
    <xf numFmtId="0" fontId="0" fillId="10" borderId="7" xfId="0" applyFill="1" applyBorder="1" applyAlignment="1">
      <alignment horizontal="center" vertical="center" wrapText="1"/>
    </xf>
    <xf numFmtId="9" fontId="0" fillId="0" borderId="7" xfId="0" applyNumberFormat="1" applyBorder="1" applyAlignment="1">
      <alignment horizontal="center" vertical="center" wrapText="1"/>
    </xf>
    <xf numFmtId="0" fontId="15" fillId="0" borderId="0" xfId="0" applyFont="1" applyBorder="1" applyAlignment="1">
      <alignment horizontal="center"/>
    </xf>
    <xf numFmtId="168" fontId="0" fillId="0" borderId="0" xfId="0" applyNumberFormat="1" applyBorder="1"/>
    <xf numFmtId="9" fontId="0" fillId="0" borderId="66" xfId="0" applyNumberFormat="1" applyBorder="1"/>
    <xf numFmtId="0" fontId="0" fillId="0" borderId="60" xfId="0" applyBorder="1"/>
    <xf numFmtId="9" fontId="0" fillId="0" borderId="68" xfId="0" applyNumberFormat="1" applyBorder="1"/>
    <xf numFmtId="0" fontId="0" fillId="0" borderId="69" xfId="0" applyBorder="1"/>
    <xf numFmtId="0" fontId="0" fillId="0" borderId="70" xfId="0" applyBorder="1"/>
    <xf numFmtId="0" fontId="0" fillId="0" borderId="71" xfId="0" applyBorder="1"/>
    <xf numFmtId="0" fontId="0" fillId="0" borderId="72" xfId="0" applyBorder="1"/>
    <xf numFmtId="0" fontId="0" fillId="0" borderId="73" xfId="0" applyBorder="1"/>
    <xf numFmtId="0" fontId="0" fillId="0" borderId="18" xfId="0" applyBorder="1"/>
    <xf numFmtId="0" fontId="0" fillId="0" borderId="0" xfId="0" applyBorder="1" applyAlignment="1">
      <alignment horizontal="center"/>
    </xf>
    <xf numFmtId="0" fontId="15" fillId="0" borderId="32" xfId="0" applyFont="1" applyBorder="1" applyAlignment="1">
      <alignment horizontal="center"/>
    </xf>
    <xf numFmtId="0" fontId="0" fillId="0" borderId="74" xfId="0" applyFont="1" applyBorder="1" applyAlignment="1">
      <alignment horizontal="center"/>
    </xf>
    <xf numFmtId="0" fontId="0" fillId="0" borderId="75" xfId="0" applyBorder="1" applyAlignment="1">
      <alignment horizontal="center"/>
    </xf>
    <xf numFmtId="0" fontId="0" fillId="0" borderId="70" xfId="0" applyBorder="1" applyAlignment="1">
      <alignment horizontal="center"/>
    </xf>
    <xf numFmtId="0" fontId="15" fillId="0" borderId="76" xfId="0" quotePrefix="1" applyFont="1" applyBorder="1" applyAlignment="1">
      <alignment horizontal="center"/>
    </xf>
    <xf numFmtId="0" fontId="15" fillId="0" borderId="77" xfId="0" quotePrefix="1" applyFont="1" applyBorder="1" applyAlignment="1">
      <alignment horizontal="left"/>
    </xf>
    <xf numFmtId="0" fontId="0" fillId="0" borderId="78" xfId="0" quotePrefix="1" applyBorder="1"/>
    <xf numFmtId="0" fontId="0" fillId="0" borderId="61" xfId="0" quotePrefix="1" applyBorder="1"/>
    <xf numFmtId="0" fontId="0" fillId="0" borderId="61" xfId="0" applyBorder="1"/>
    <xf numFmtId="0" fontId="15" fillId="0" borderId="79" xfId="0" applyFont="1" applyBorder="1" applyAlignment="1">
      <alignment horizontal="center"/>
    </xf>
    <xf numFmtId="0" fontId="15" fillId="0" borderId="34" xfId="0" applyFont="1" applyBorder="1" applyAlignment="1">
      <alignment horizontal="center"/>
    </xf>
    <xf numFmtId="0" fontId="0" fillId="0" borderId="78" xfId="0" applyBorder="1" applyAlignment="1">
      <alignment horizontal="right"/>
    </xf>
    <xf numFmtId="0" fontId="0" fillId="0" borderId="61" xfId="0" applyBorder="1" applyAlignment="1">
      <alignment horizontal="right"/>
    </xf>
    <xf numFmtId="165" fontId="0" fillId="0" borderId="81" xfId="0" applyNumberFormat="1" applyBorder="1"/>
    <xf numFmtId="0" fontId="0" fillId="0" borderId="53" xfId="0" applyFill="1" applyBorder="1" applyAlignment="1">
      <alignment horizontal="right"/>
    </xf>
    <xf numFmtId="0" fontId="0" fillId="0" borderId="23" xfId="0" applyFill="1" applyBorder="1" applyAlignment="1">
      <alignment horizontal="right"/>
    </xf>
    <xf numFmtId="0" fontId="0" fillId="0" borderId="82" xfId="0" applyFill="1" applyBorder="1" applyAlignment="1">
      <alignment horizontal="right"/>
    </xf>
    <xf numFmtId="0" fontId="0" fillId="0" borderId="83" xfId="0" applyFill="1" applyBorder="1" applyAlignment="1">
      <alignment horizontal="right"/>
    </xf>
    <xf numFmtId="10" fontId="0" fillId="0" borderId="43" xfId="0" applyNumberFormat="1" applyBorder="1"/>
    <xf numFmtId="0" fontId="0" fillId="0" borderId="53" xfId="0" applyFill="1" applyBorder="1" applyAlignment="1">
      <alignment horizontal="center"/>
    </xf>
    <xf numFmtId="0" fontId="0" fillId="0" borderId="39" xfId="0" applyFill="1" applyBorder="1" applyAlignment="1">
      <alignment horizontal="right"/>
    </xf>
    <xf numFmtId="0" fontId="0" fillId="0" borderId="87" xfId="0" applyBorder="1" applyAlignment="1">
      <alignment horizontal="center"/>
    </xf>
    <xf numFmtId="0" fontId="0" fillId="0" borderId="65" xfId="0" applyBorder="1"/>
    <xf numFmtId="0" fontId="0" fillId="7" borderId="7" xfId="0" applyFill="1" applyBorder="1" applyAlignment="1">
      <alignment horizontal="center" vertical="center" wrapText="1"/>
    </xf>
    <xf numFmtId="0" fontId="0" fillId="0" borderId="64" xfId="0" applyBorder="1"/>
    <xf numFmtId="2" fontId="0" fillId="0" borderId="53" xfId="0" applyNumberFormat="1" applyBorder="1"/>
    <xf numFmtId="0" fontId="0" fillId="0" borderId="63" xfId="0" applyBorder="1"/>
    <xf numFmtId="165" fontId="0" fillId="10" borderId="7" xfId="0" applyNumberFormat="1" applyFill="1" applyBorder="1" applyAlignment="1">
      <alignment horizontal="center" vertical="center" wrapText="1"/>
    </xf>
    <xf numFmtId="0" fontId="0" fillId="0" borderId="33" xfId="0" applyBorder="1" applyAlignment="1">
      <alignment horizontal="right"/>
    </xf>
    <xf numFmtId="0" fontId="0" fillId="0" borderId="26" xfId="0" quotePrefix="1" applyBorder="1" applyAlignment="1">
      <alignment horizontal="right"/>
    </xf>
    <xf numFmtId="0" fontId="15" fillId="0" borderId="67" xfId="0" applyFont="1" applyFill="1" applyBorder="1" applyAlignment="1">
      <alignment horizontal="center"/>
    </xf>
    <xf numFmtId="0" fontId="15" fillId="0" borderId="86" xfId="0" applyFont="1" applyFill="1" applyBorder="1" applyAlignment="1">
      <alignment horizontal="center"/>
    </xf>
    <xf numFmtId="0" fontId="15" fillId="0" borderId="85" xfId="0" applyFont="1" applyFill="1" applyBorder="1" applyAlignment="1">
      <alignment horizontal="center"/>
    </xf>
    <xf numFmtId="0" fontId="15" fillId="0" borderId="33" xfId="0" applyFont="1" applyFill="1" applyBorder="1" applyAlignment="1"/>
    <xf numFmtId="0" fontId="0" fillId="0" borderId="63" xfId="0" quotePrefix="1" applyFill="1" applyBorder="1" applyAlignment="1">
      <alignment horizontal="center"/>
    </xf>
    <xf numFmtId="2" fontId="0" fillId="0" borderId="21" xfId="0" applyNumberFormat="1" applyFill="1" applyBorder="1"/>
    <xf numFmtId="0" fontId="0" fillId="0" borderId="31" xfId="0" applyFill="1" applyBorder="1"/>
    <xf numFmtId="0" fontId="15" fillId="0" borderId="26" xfId="0" applyFont="1" applyFill="1" applyBorder="1" applyAlignment="1"/>
    <xf numFmtId="16" fontId="0" fillId="0" borderId="64" xfId="0" quotePrefix="1" applyNumberFormat="1" applyFill="1" applyBorder="1" applyAlignment="1">
      <alignment horizontal="center"/>
    </xf>
    <xf numFmtId="2" fontId="0" fillId="0" borderId="20" xfId="0" applyNumberFormat="1" applyFill="1" applyBorder="1"/>
    <xf numFmtId="0" fontId="0" fillId="0" borderId="27" xfId="0" applyFill="1" applyBorder="1"/>
    <xf numFmtId="0" fontId="0" fillId="0" borderId="64" xfId="0" quotePrefix="1" applyFill="1" applyBorder="1" applyAlignment="1">
      <alignment horizontal="center"/>
    </xf>
    <xf numFmtId="0" fontId="15" fillId="0" borderId="28" xfId="0" applyFont="1" applyFill="1" applyBorder="1" applyAlignment="1"/>
    <xf numFmtId="0" fontId="0" fillId="0" borderId="65" xfId="0" applyFill="1" applyBorder="1" applyAlignment="1">
      <alignment horizontal="center"/>
    </xf>
    <xf numFmtId="0" fontId="0" fillId="0" borderId="84" xfId="0" applyFill="1" applyBorder="1" applyAlignment="1">
      <alignment horizontal="center"/>
    </xf>
    <xf numFmtId="2" fontId="0" fillId="0" borderId="25" xfId="0" applyNumberFormat="1" applyFill="1" applyBorder="1"/>
    <xf numFmtId="0" fontId="0" fillId="0" borderId="29" xfId="0" applyFill="1" applyBorder="1"/>
    <xf numFmtId="165" fontId="0" fillId="10" borderId="54" xfId="0" applyNumberFormat="1" applyFill="1" applyBorder="1" applyAlignment="1">
      <alignment horizontal="center" vertical="center" wrapText="1"/>
    </xf>
    <xf numFmtId="0" fontId="27" fillId="0" borderId="0" xfId="0" applyFont="1" applyFill="1" applyAlignment="1">
      <alignment horizontal="left" vertical="center"/>
    </xf>
    <xf numFmtId="0" fontId="0" fillId="0" borderId="0" xfId="0" applyFill="1" applyAlignment="1">
      <alignment horizontal="left" vertical="center"/>
    </xf>
    <xf numFmtId="0" fontId="0" fillId="0" borderId="0" xfId="0" applyFill="1" applyAlignment="1">
      <alignment horizontal="left"/>
    </xf>
    <xf numFmtId="1" fontId="0" fillId="0" borderId="5" xfId="0" applyNumberFormat="1" applyFill="1" applyBorder="1" applyAlignment="1">
      <alignment horizontal="left" vertical="center"/>
    </xf>
    <xf numFmtId="0" fontId="27" fillId="0" borderId="12" xfId="0" applyFont="1" applyFill="1" applyBorder="1" applyAlignment="1">
      <alignment horizontal="left" vertical="center"/>
    </xf>
    <xf numFmtId="0" fontId="22" fillId="0" borderId="59" xfId="0" applyFont="1" applyFill="1" applyBorder="1" applyAlignment="1">
      <alignment horizontal="right" vertical="center" wrapText="1"/>
    </xf>
    <xf numFmtId="0" fontId="22" fillId="0" borderId="59" xfId="0" applyFont="1" applyFill="1" applyBorder="1" applyAlignment="1">
      <alignment horizontal="right" vertical="center"/>
    </xf>
    <xf numFmtId="0" fontId="0" fillId="8" borderId="0" xfId="0" applyFill="1" applyBorder="1" applyAlignment="1">
      <alignment horizontal="center" vertical="center"/>
    </xf>
    <xf numFmtId="1" fontId="27" fillId="9" borderId="54" xfId="0" applyNumberFormat="1" applyFont="1" applyFill="1" applyBorder="1" applyAlignment="1">
      <alignment horizontal="center" vertical="center"/>
    </xf>
    <xf numFmtId="2" fontId="0" fillId="0" borderId="0" xfId="0" applyNumberFormat="1" applyFill="1" applyAlignment="1">
      <alignment horizontal="center" vertical="center"/>
    </xf>
    <xf numFmtId="1" fontId="0" fillId="7" borderId="21" xfId="0" applyNumberFormat="1" applyFill="1" applyBorder="1" applyAlignment="1">
      <alignment horizontal="center" vertical="center" wrapText="1"/>
    </xf>
    <xf numFmtId="164" fontId="0" fillId="0" borderId="0" xfId="0" applyNumberFormat="1" applyFill="1" applyAlignment="1">
      <alignment horizontal="right" vertical="center"/>
    </xf>
    <xf numFmtId="164" fontId="27" fillId="0" borderId="0" xfId="0" applyNumberFormat="1" applyFont="1" applyFill="1" applyAlignment="1">
      <alignment horizontal="right" vertical="center"/>
    </xf>
    <xf numFmtId="164" fontId="0" fillId="0" borderId="0" xfId="0" applyNumberFormat="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vertical="center"/>
    </xf>
    <xf numFmtId="0" fontId="32" fillId="0" borderId="56" xfId="2" applyFill="1" applyBorder="1" applyAlignment="1">
      <alignment horizontal="left" vertical="center"/>
    </xf>
    <xf numFmtId="0" fontId="0" fillId="0" borderId="56" xfId="0" applyFill="1" applyBorder="1" applyAlignment="1">
      <alignment horizontal="left" vertical="center"/>
    </xf>
    <xf numFmtId="0" fontId="0" fillId="0" borderId="17" xfId="0" applyFill="1" applyBorder="1" applyAlignment="1">
      <alignment horizontal="left" vertical="center"/>
    </xf>
    <xf numFmtId="0" fontId="0" fillId="0" borderId="5" xfId="0" applyFill="1" applyBorder="1" applyAlignment="1">
      <alignment horizontal="left" vertical="center"/>
    </xf>
    <xf numFmtId="164" fontId="0" fillId="0" borderId="5" xfId="0" applyNumberFormat="1" applyFill="1" applyBorder="1" applyAlignment="1">
      <alignment horizontal="right" vertical="center"/>
    </xf>
    <xf numFmtId="0" fontId="0" fillId="0" borderId="18" xfId="0" applyFill="1" applyBorder="1" applyAlignment="1">
      <alignment horizontal="lef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164" fontId="1" fillId="0" borderId="12" xfId="0" applyNumberFormat="1" applyFont="1" applyBorder="1" applyAlignment="1">
      <alignment horizontal="right" vertical="center" wrapText="1"/>
    </xf>
    <xf numFmtId="0" fontId="1" fillId="0" borderId="13" xfId="0" applyFont="1" applyBorder="1" applyAlignment="1">
      <alignment horizontal="center" vertical="center" wrapText="1"/>
    </xf>
    <xf numFmtId="0" fontId="0" fillId="0" borderId="54" xfId="0" applyFont="1" applyBorder="1" applyAlignment="1">
      <alignment horizontal="center" vertical="center" wrapText="1"/>
    </xf>
    <xf numFmtId="0" fontId="27" fillId="9" borderId="5" xfId="0" applyFont="1" applyFill="1" applyBorder="1" applyAlignment="1">
      <alignment horizontal="center" vertical="center"/>
    </xf>
    <xf numFmtId="3" fontId="27" fillId="9" borderId="38" xfId="0" applyNumberFormat="1" applyFont="1" applyFill="1" applyBorder="1" applyAlignment="1">
      <alignment horizontal="center" vertical="center"/>
    </xf>
    <xf numFmtId="10" fontId="27" fillId="9" borderId="38" xfId="0" applyNumberFormat="1" applyFont="1" applyFill="1" applyBorder="1" applyAlignment="1">
      <alignment horizontal="center" vertical="center"/>
    </xf>
    <xf numFmtId="10" fontId="27" fillId="9" borderId="88" xfId="0" applyNumberFormat="1" applyFont="1" applyFill="1" applyBorder="1" applyAlignment="1">
      <alignment horizontal="center" vertical="center"/>
    </xf>
    <xf numFmtId="0" fontId="0" fillId="3" borderId="6" xfId="0" applyFont="1" applyFill="1" applyBorder="1" applyAlignment="1">
      <alignment horizontal="center" vertical="center" wrapText="1"/>
    </xf>
    <xf numFmtId="1" fontId="0" fillId="0" borderId="14" xfId="0" applyNumberFormat="1" applyFill="1" applyBorder="1" applyAlignment="1">
      <alignment horizontal="center" vertical="center"/>
    </xf>
    <xf numFmtId="1" fontId="0" fillId="0" borderId="14" xfId="0" applyNumberFormat="1" applyFill="1" applyBorder="1" applyAlignment="1">
      <alignment horizontal="right" vertical="center"/>
    </xf>
    <xf numFmtId="1" fontId="0" fillId="0" borderId="17" xfId="0" applyNumberFormat="1" applyFill="1" applyBorder="1" applyAlignment="1">
      <alignment horizontal="right" vertical="center"/>
    </xf>
    <xf numFmtId="1" fontId="0" fillId="0" borderId="5" xfId="0" applyNumberFormat="1" applyFill="1" applyBorder="1" applyAlignment="1">
      <alignment horizontal="right" vertical="center"/>
    </xf>
    <xf numFmtId="1" fontId="0" fillId="0" borderId="5" xfId="0" applyNumberFormat="1" applyFill="1" applyBorder="1" applyAlignment="1">
      <alignment horizontal="center" vertical="center"/>
    </xf>
    <xf numFmtId="165" fontId="0" fillId="0" borderId="5" xfId="0" applyNumberFormat="1" applyFill="1" applyBorder="1" applyAlignment="1">
      <alignment horizontal="center" vertical="center"/>
    </xf>
    <xf numFmtId="1" fontId="0" fillId="7" borderId="38" xfId="0" applyNumberFormat="1" applyFill="1" applyBorder="1" applyAlignment="1">
      <alignment horizontal="center" vertical="center"/>
    </xf>
    <xf numFmtId="168" fontId="0" fillId="0" borderId="5" xfId="0" applyNumberFormat="1" applyFill="1" applyBorder="1" applyAlignment="1">
      <alignment horizontal="right" vertical="center"/>
    </xf>
    <xf numFmtId="9" fontId="0" fillId="0" borderId="5" xfId="0" applyNumberFormat="1" applyFill="1" applyBorder="1" applyAlignment="1">
      <alignment vertical="center"/>
    </xf>
    <xf numFmtId="1" fontId="0" fillId="7" borderId="25" xfId="0" applyNumberFormat="1" applyFill="1" applyBorder="1" applyAlignment="1">
      <alignment horizontal="center" vertical="center"/>
    </xf>
    <xf numFmtId="1" fontId="0" fillId="7" borderId="29" xfId="0" applyNumberFormat="1" applyFill="1" applyBorder="1" applyAlignment="1">
      <alignment horizontal="center" vertical="center"/>
    </xf>
    <xf numFmtId="0" fontId="1" fillId="0" borderId="0" xfId="0" applyFont="1" applyFill="1"/>
    <xf numFmtId="0" fontId="0" fillId="3" borderId="20" xfId="0" applyFill="1" applyBorder="1" applyAlignment="1">
      <alignment horizontal="center" vertical="center"/>
    </xf>
    <xf numFmtId="0" fontId="0" fillId="10" borderId="20" xfId="0" applyFill="1" applyBorder="1"/>
    <xf numFmtId="0" fontId="0" fillId="15" borderId="20" xfId="0" applyFill="1" applyBorder="1" applyAlignment="1">
      <alignment horizontal="center" vertical="center"/>
    </xf>
    <xf numFmtId="0" fontId="0" fillId="0" borderId="0" xfId="0" applyAlignment="1">
      <alignment horizontal="left"/>
    </xf>
    <xf numFmtId="0" fontId="0" fillId="13" borderId="20" xfId="0" applyFill="1" applyBorder="1"/>
    <xf numFmtId="0" fontId="0" fillId="16" borderId="8" xfId="0" applyFont="1" applyFill="1" applyBorder="1" applyAlignment="1">
      <alignment horizontal="center" vertical="center" wrapText="1"/>
    </xf>
    <xf numFmtId="1" fontId="0" fillId="16" borderId="31" xfId="0" applyNumberFormat="1" applyFill="1" applyBorder="1" applyAlignment="1">
      <alignment horizontal="center" vertical="center"/>
    </xf>
    <xf numFmtId="0" fontId="0" fillId="16" borderId="20" xfId="0" applyFill="1" applyBorder="1"/>
    <xf numFmtId="0" fontId="0" fillId="14" borderId="0" xfId="0" applyFill="1" applyBorder="1" applyAlignment="1">
      <alignment vertical="center"/>
    </xf>
    <xf numFmtId="0" fontId="0" fillId="14" borderId="0" xfId="0" applyFill="1" applyBorder="1" applyAlignment="1">
      <alignment horizontal="left" vertical="center"/>
    </xf>
    <xf numFmtId="0" fontId="0" fillId="9" borderId="0" xfId="0" applyFont="1" applyFill="1"/>
    <xf numFmtId="9" fontId="0" fillId="0" borderId="21" xfId="3" applyFont="1" applyFill="1" applyBorder="1" applyAlignment="1">
      <alignment horizontal="center" vertical="center"/>
    </xf>
    <xf numFmtId="9" fontId="27" fillId="9" borderId="57" xfId="3" applyFont="1" applyFill="1" applyBorder="1" applyAlignment="1">
      <alignment horizontal="center" vertical="center"/>
    </xf>
    <xf numFmtId="0" fontId="0" fillId="0" borderId="28" xfId="0" quotePrefix="1" applyBorder="1"/>
    <xf numFmtId="2" fontId="0" fillId="0" borderId="43" xfId="0" quotePrefix="1" applyNumberFormat="1" applyBorder="1" applyAlignment="1">
      <alignment horizontal="right"/>
    </xf>
    <xf numFmtId="9" fontId="0" fillId="0" borderId="0" xfId="0" applyNumberFormat="1" applyFill="1" applyAlignment="1">
      <alignment horizontal="center" vertical="center"/>
    </xf>
    <xf numFmtId="9" fontId="0" fillId="0" borderId="0" xfId="0" applyNumberFormat="1" applyAlignment="1">
      <alignment horizontal="right"/>
    </xf>
    <xf numFmtId="9" fontId="18" fillId="0" borderId="21" xfId="3" applyFont="1" applyFill="1" applyBorder="1" applyAlignment="1">
      <alignment horizontal="center" vertical="center"/>
    </xf>
    <xf numFmtId="2" fontId="0" fillId="0" borderId="45" xfId="0" quotePrefix="1" applyNumberFormat="1" applyBorder="1" applyAlignment="1">
      <alignment horizontal="right"/>
    </xf>
    <xf numFmtId="0" fontId="0" fillId="0" borderId="0" xfId="0" applyAlignment="1">
      <alignment horizontal="center" vertical="center"/>
    </xf>
    <xf numFmtId="0" fontId="19" fillId="0" borderId="0" xfId="0" applyFont="1" applyBorder="1" applyAlignment="1">
      <alignment vertical="center"/>
    </xf>
    <xf numFmtId="0" fontId="21" fillId="0" borderId="0" xfId="0" applyFont="1" applyBorder="1" applyAlignment="1">
      <alignment vertical="center"/>
    </xf>
    <xf numFmtId="0" fontId="0" fillId="0" borderId="56" xfId="0" applyBorder="1"/>
    <xf numFmtId="0" fontId="33" fillId="0" borderId="58" xfId="0" applyFont="1" applyBorder="1" applyAlignment="1">
      <alignment vertical="center"/>
    </xf>
    <xf numFmtId="0" fontId="37" fillId="0" borderId="56" xfId="0" applyFont="1" applyBorder="1"/>
    <xf numFmtId="0" fontId="37" fillId="0" borderId="18" xfId="0" applyFont="1" applyBorder="1"/>
    <xf numFmtId="0" fontId="33" fillId="9" borderId="14" xfId="0" applyFont="1" applyFill="1" applyBorder="1" applyAlignment="1">
      <alignment vertical="center"/>
    </xf>
    <xf numFmtId="0" fontId="0" fillId="9" borderId="56" xfId="0" applyFill="1" applyBorder="1"/>
    <xf numFmtId="0" fontId="35" fillId="0" borderId="67" xfId="0" applyFont="1" applyBorder="1" applyAlignment="1">
      <alignment horizontal="center" vertical="center"/>
    </xf>
    <xf numFmtId="0" fontId="36" fillId="0" borderId="93" xfId="0" applyFont="1" applyBorder="1" applyAlignment="1">
      <alignment horizontal="center"/>
    </xf>
    <xf numFmtId="0" fontId="37" fillId="0" borderId="58" xfId="0" applyFont="1" applyBorder="1" applyAlignment="1">
      <alignment horizontal="right"/>
    </xf>
    <xf numFmtId="0" fontId="37" fillId="0" borderId="35" xfId="0" applyFont="1" applyBorder="1" applyAlignment="1">
      <alignment horizontal="right"/>
    </xf>
    <xf numFmtId="0" fontId="0" fillId="0" borderId="17" xfId="0" applyFill="1" applyBorder="1" applyAlignment="1">
      <alignment vertical="center"/>
    </xf>
    <xf numFmtId="0" fontId="0" fillId="0" borderId="5" xfId="0" applyFill="1" applyBorder="1" applyAlignment="1">
      <alignment vertical="center"/>
    </xf>
    <xf numFmtId="1" fontId="0" fillId="0" borderId="17" xfId="0" applyNumberFormat="1" applyFill="1" applyBorder="1" applyAlignment="1">
      <alignment horizontal="center" vertical="center"/>
    </xf>
    <xf numFmtId="168" fontId="0" fillId="0" borderId="5" xfId="0" applyNumberFormat="1" applyFill="1" applyBorder="1" applyAlignment="1">
      <alignment vertical="center"/>
    </xf>
    <xf numFmtId="1" fontId="0" fillId="0" borderId="5" xfId="0" applyNumberFormat="1" applyFill="1" applyBorder="1" applyAlignment="1">
      <alignment vertical="center"/>
    </xf>
    <xf numFmtId="9" fontId="0" fillId="0" borderId="5" xfId="0" applyNumberFormat="1" applyFill="1" applyBorder="1" applyAlignment="1">
      <alignment horizontal="center" vertical="center"/>
    </xf>
    <xf numFmtId="3" fontId="0" fillId="0" borderId="5" xfId="0" applyNumberFormat="1" applyFill="1" applyBorder="1" applyAlignment="1">
      <alignment horizontal="right" vertical="center"/>
    </xf>
    <xf numFmtId="3" fontId="0" fillId="0" borderId="5" xfId="0" applyNumberFormat="1" applyFill="1" applyBorder="1" applyAlignment="1">
      <alignment vertical="center"/>
    </xf>
    <xf numFmtId="3" fontId="0" fillId="0" borderId="5" xfId="0" applyNumberFormat="1" applyFill="1" applyBorder="1" applyAlignment="1">
      <alignment horizontal="center" vertical="center"/>
    </xf>
    <xf numFmtId="2" fontId="0" fillId="0" borderId="5" xfId="0" applyNumberFormat="1" applyFill="1" applyBorder="1" applyAlignment="1">
      <alignment horizontal="center" vertical="center"/>
    </xf>
    <xf numFmtId="38" fontId="0" fillId="0" borderId="5" xfId="0" applyNumberFormat="1" applyFill="1" applyBorder="1" applyAlignment="1">
      <alignment horizontal="right" vertical="center"/>
    </xf>
    <xf numFmtId="9" fontId="0" fillId="0" borderId="38" xfId="3" applyFont="1" applyFill="1" applyBorder="1" applyAlignment="1">
      <alignment horizontal="center" vertical="center"/>
    </xf>
    <xf numFmtId="0" fontId="0" fillId="0" borderId="18" xfId="0" applyFill="1" applyBorder="1" applyAlignment="1">
      <alignment vertical="center"/>
    </xf>
    <xf numFmtId="166" fontId="0" fillId="0" borderId="5" xfId="0" applyNumberFormat="1" applyFill="1" applyBorder="1" applyAlignment="1">
      <alignment horizontal="right" vertical="center"/>
    </xf>
    <xf numFmtId="165" fontId="0" fillId="0" borderId="5" xfId="0" applyNumberFormat="1" applyFill="1" applyBorder="1" applyAlignment="1">
      <alignment vertical="center"/>
    </xf>
    <xf numFmtId="6" fontId="0" fillId="0" borderId="5" xfId="0" applyNumberFormat="1" applyFill="1" applyBorder="1" applyAlignment="1">
      <alignment vertical="center"/>
    </xf>
    <xf numFmtId="4" fontId="0" fillId="0" borderId="5" xfId="0" applyNumberFormat="1" applyFill="1" applyBorder="1" applyAlignment="1">
      <alignment horizontal="center" vertical="center"/>
    </xf>
    <xf numFmtId="168" fontId="0" fillId="0" borderId="5" xfId="0" applyNumberFormat="1" applyFill="1" applyBorder="1" applyAlignment="1">
      <alignment horizontal="center" vertical="center"/>
    </xf>
    <xf numFmtId="10" fontId="0" fillId="0" borderId="5" xfId="0" applyNumberFormat="1" applyFill="1" applyBorder="1" applyAlignment="1">
      <alignment vertical="center"/>
    </xf>
    <xf numFmtId="1" fontId="0" fillId="7" borderId="88" xfId="0" applyNumberFormat="1" applyFill="1" applyBorder="1" applyAlignment="1">
      <alignment horizontal="center" vertical="center"/>
    </xf>
    <xf numFmtId="1" fontId="0" fillId="13" borderId="35" xfId="0" applyNumberFormat="1" applyFill="1" applyBorder="1" applyAlignment="1">
      <alignment horizontal="center" vertical="center"/>
    </xf>
    <xf numFmtId="0" fontId="32" fillId="0" borderId="18" xfId="2" applyFill="1" applyBorder="1" applyAlignment="1">
      <alignment horizontal="left" vertical="center"/>
    </xf>
    <xf numFmtId="44" fontId="0" fillId="0" borderId="45" xfId="1" applyFont="1" applyBorder="1"/>
    <xf numFmtId="168" fontId="0" fillId="8" borderId="0" xfId="0" applyNumberFormat="1" applyFill="1" applyBorder="1" applyAlignment="1">
      <alignment horizontal="center" vertical="center"/>
    </xf>
    <xf numFmtId="6" fontId="0" fillId="8" borderId="0" xfId="0" applyNumberFormat="1" applyFill="1" applyBorder="1" applyAlignment="1">
      <alignment horizontal="center" vertical="center"/>
    </xf>
    <xf numFmtId="6" fontId="0" fillId="8" borderId="0" xfId="0" applyNumberFormat="1" applyFill="1" applyBorder="1" applyAlignment="1">
      <alignment vertical="center"/>
    </xf>
    <xf numFmtId="167" fontId="0" fillId="0" borderId="0" xfId="0" applyNumberFormat="1"/>
    <xf numFmtId="1" fontId="0" fillId="0" borderId="0" xfId="0" applyNumberFormat="1" applyFill="1"/>
    <xf numFmtId="0" fontId="0" fillId="11" borderId="54" xfId="0" applyFont="1" applyFill="1" applyBorder="1" applyAlignment="1">
      <alignment horizontal="center" vertical="center" wrapText="1"/>
    </xf>
    <xf numFmtId="43" fontId="0" fillId="0" borderId="0" xfId="4" applyFont="1" applyFill="1" applyBorder="1" applyAlignment="1">
      <alignment vertical="center"/>
    </xf>
    <xf numFmtId="43" fontId="0" fillId="0" borderId="5" xfId="4" applyFont="1" applyFill="1" applyBorder="1" applyAlignment="1">
      <alignment vertical="center"/>
    </xf>
    <xf numFmtId="170" fontId="27" fillId="9" borderId="7" xfId="4" applyNumberFormat="1" applyFont="1" applyFill="1" applyBorder="1" applyAlignment="1">
      <alignment horizontal="center" vertical="center"/>
    </xf>
    <xf numFmtId="37" fontId="0" fillId="0" borderId="42" xfId="1" applyNumberFormat="1" applyFont="1" applyBorder="1"/>
    <xf numFmtId="37" fontId="0" fillId="0" borderId="46" xfId="1" applyNumberFormat="1" applyFont="1" applyBorder="1"/>
    <xf numFmtId="0" fontId="15" fillId="2" borderId="15" xfId="0" quotePrefix="1" applyFont="1" applyFill="1" applyBorder="1" applyAlignment="1">
      <alignment horizontal="center"/>
    </xf>
    <xf numFmtId="0" fontId="15" fillId="2" borderId="19" xfId="0" applyFont="1" applyFill="1" applyBorder="1" applyAlignment="1">
      <alignment horizontal="center"/>
    </xf>
    <xf numFmtId="0" fontId="0" fillId="3" borderId="83" xfId="0" applyFill="1" applyBorder="1" applyAlignment="1">
      <alignment horizontal="right"/>
    </xf>
    <xf numFmtId="0" fontId="0" fillId="3" borderId="53" xfId="0" applyFill="1" applyBorder="1" applyAlignment="1">
      <alignment horizontal="center"/>
    </xf>
    <xf numFmtId="1" fontId="29" fillId="3" borderId="45" xfId="0" applyNumberFormat="1" applyFont="1" applyFill="1" applyBorder="1" applyAlignment="1">
      <alignment horizontal="right" vertical="center"/>
    </xf>
    <xf numFmtId="0" fontId="0" fillId="3" borderId="27" xfId="0" applyFill="1" applyBorder="1" applyAlignment="1">
      <alignment horizontal="center" vertical="center"/>
    </xf>
    <xf numFmtId="0" fontId="0" fillId="3" borderId="26" xfId="0" quotePrefix="1" applyFill="1" applyBorder="1" applyAlignment="1">
      <alignment horizontal="right"/>
    </xf>
    <xf numFmtId="0" fontId="0" fillId="3" borderId="23" xfId="0" applyFill="1" applyBorder="1" applyAlignment="1">
      <alignment horizontal="center"/>
    </xf>
    <xf numFmtId="1" fontId="0" fillId="3" borderId="45" xfId="0" applyNumberFormat="1" applyFill="1" applyBorder="1"/>
    <xf numFmtId="0" fontId="0" fillId="3" borderId="31" xfId="0" applyFill="1" applyBorder="1"/>
    <xf numFmtId="0" fontId="0" fillId="3" borderId="27" xfId="0" applyFill="1" applyBorder="1"/>
    <xf numFmtId="9" fontId="0" fillId="3" borderId="28" xfId="0" quotePrefix="1" applyNumberFormat="1" applyFill="1" applyBorder="1" applyAlignment="1">
      <alignment horizontal="right"/>
    </xf>
    <xf numFmtId="9" fontId="0" fillId="3" borderId="84" xfId="0" applyNumberFormat="1" applyFill="1" applyBorder="1" applyAlignment="1">
      <alignment horizontal="center"/>
    </xf>
    <xf numFmtId="1" fontId="0" fillId="3" borderId="43" xfId="0" applyNumberFormat="1" applyFill="1" applyBorder="1"/>
    <xf numFmtId="0" fontId="0" fillId="3" borderId="29" xfId="0" applyFill="1" applyBorder="1"/>
    <xf numFmtId="1" fontId="0" fillId="0" borderId="0" xfId="0" applyNumberFormat="1" applyBorder="1"/>
    <xf numFmtId="0" fontId="0" fillId="0" borderId="5" xfId="0" applyBorder="1"/>
    <xf numFmtId="1" fontId="0" fillId="0" borderId="5" xfId="0" applyNumberFormat="1" applyBorder="1"/>
    <xf numFmtId="1" fontId="0" fillId="0" borderId="99" xfId="0" applyNumberFormat="1" applyBorder="1"/>
    <xf numFmtId="0" fontId="0" fillId="0" borderId="99" xfId="0" applyBorder="1"/>
    <xf numFmtId="0" fontId="0" fillId="0" borderId="100" xfId="0" applyBorder="1"/>
    <xf numFmtId="9" fontId="0" fillId="0" borderId="14" xfId="3" applyFont="1" applyBorder="1"/>
    <xf numFmtId="9" fontId="0" fillId="0" borderId="0" xfId="3" applyFont="1" applyBorder="1"/>
    <xf numFmtId="9" fontId="0" fillId="0" borderId="17" xfId="3" applyFont="1" applyBorder="1"/>
    <xf numFmtId="9" fontId="0" fillId="0" borderId="5" xfId="3" applyFont="1" applyBorder="1"/>
    <xf numFmtId="0" fontId="1" fillId="14" borderId="97" xfId="0" applyFont="1" applyFill="1" applyBorder="1" applyAlignment="1">
      <alignment horizontal="center"/>
    </xf>
    <xf numFmtId="0" fontId="1" fillId="12" borderId="98" xfId="0" applyFont="1" applyFill="1" applyBorder="1" applyAlignment="1">
      <alignment horizontal="center"/>
    </xf>
    <xf numFmtId="0" fontId="1" fillId="12" borderId="17" xfId="0" applyFont="1" applyFill="1" applyBorder="1" applyAlignment="1">
      <alignment horizontal="center"/>
    </xf>
    <xf numFmtId="0" fontId="1" fillId="12" borderId="104" xfId="0" applyFont="1" applyFill="1" applyBorder="1" applyAlignment="1">
      <alignment horizontal="center"/>
    </xf>
    <xf numFmtId="0" fontId="16" fillId="12" borderId="103" xfId="0" applyFont="1" applyFill="1" applyBorder="1" applyAlignment="1">
      <alignment horizontal="center"/>
    </xf>
    <xf numFmtId="9" fontId="0" fillId="17" borderId="0" xfId="3" applyFont="1" applyFill="1" applyBorder="1"/>
    <xf numFmtId="9" fontId="0" fillId="17" borderId="5" xfId="3" applyFont="1" applyFill="1" applyBorder="1"/>
    <xf numFmtId="9" fontId="0" fillId="17" borderId="14" xfId="3" applyFont="1" applyFill="1" applyBorder="1"/>
    <xf numFmtId="9" fontId="0" fillId="17" borderId="17" xfId="3" applyFont="1" applyFill="1" applyBorder="1"/>
    <xf numFmtId="9" fontId="0" fillId="0" borderId="105" xfId="3" applyFont="1" applyBorder="1"/>
    <xf numFmtId="9" fontId="0" fillId="0" borderId="99" xfId="3" applyFont="1" applyBorder="1"/>
    <xf numFmtId="9" fontId="0" fillId="0" borderId="100" xfId="3" applyFont="1" applyBorder="1"/>
    <xf numFmtId="0" fontId="0" fillId="0" borderId="0" xfId="0" applyFill="1" applyBorder="1" applyAlignment="1">
      <alignment horizontal="left" vertical="center"/>
    </xf>
    <xf numFmtId="0" fontId="0" fillId="14" borderId="0" xfId="0" applyFill="1" applyBorder="1" applyAlignment="1">
      <alignment horizontal="left" vertical="center"/>
    </xf>
    <xf numFmtId="10" fontId="22" fillId="0" borderId="58" xfId="0" applyNumberFormat="1" applyFont="1" applyFill="1" applyBorder="1" applyAlignment="1">
      <alignment vertical="center"/>
    </xf>
    <xf numFmtId="0" fontId="1" fillId="0" borderId="1" xfId="0" applyFont="1" applyBorder="1" applyAlignment="1">
      <alignment horizontal="left" vertical="center" wrapText="1"/>
    </xf>
    <xf numFmtId="0" fontId="0" fillId="24" borderId="0" xfId="0" applyFill="1"/>
    <xf numFmtId="1" fontId="0" fillId="0" borderId="0" xfId="0" applyNumberFormat="1" applyFill="1" applyBorder="1" applyAlignment="1">
      <alignment horizontal="left" vertical="center" wrapText="1"/>
    </xf>
    <xf numFmtId="0" fontId="1" fillId="14" borderId="89" xfId="0" applyFont="1" applyFill="1" applyBorder="1" applyAlignment="1">
      <alignment horizontal="center"/>
    </xf>
    <xf numFmtId="0" fontId="1" fillId="14" borderId="90" xfId="0" applyFont="1" applyFill="1" applyBorder="1" applyAlignment="1">
      <alignment horizontal="center"/>
    </xf>
    <xf numFmtId="0" fontId="1" fillId="14" borderId="106" xfId="0" applyFont="1" applyFill="1" applyBorder="1" applyAlignment="1">
      <alignment horizontal="center"/>
    </xf>
    <xf numFmtId="0" fontId="1" fillId="12" borderId="35" xfId="0" applyFont="1" applyFill="1" applyBorder="1" applyAlignment="1">
      <alignment horizontal="center"/>
    </xf>
    <xf numFmtId="0" fontId="1" fillId="12" borderId="38" xfId="0" applyFont="1" applyFill="1" applyBorder="1" applyAlignment="1">
      <alignment horizontal="center"/>
    </xf>
    <xf numFmtId="0" fontId="1" fillId="12" borderId="107" xfId="0" applyFont="1" applyFill="1" applyBorder="1" applyAlignment="1">
      <alignment horizontal="center"/>
    </xf>
    <xf numFmtId="0" fontId="0" fillId="0" borderId="0" xfId="0" applyFill="1" applyBorder="1" applyAlignment="1">
      <alignment horizontal="left" vertical="center"/>
    </xf>
    <xf numFmtId="0" fontId="27" fillId="9" borderId="11" xfId="0" applyFont="1" applyFill="1" applyBorder="1" applyAlignment="1">
      <alignment horizontal="center" vertical="center"/>
    </xf>
    <xf numFmtId="0" fontId="27" fillId="9" borderId="12" xfId="0" applyFont="1" applyFill="1" applyBorder="1" applyAlignment="1">
      <alignment horizontal="center" vertical="center"/>
    </xf>
    <xf numFmtId="0" fontId="17" fillId="12" borderId="11" xfId="0" applyFont="1" applyFill="1" applyBorder="1" applyAlignment="1">
      <alignment horizontal="center" vertical="center"/>
    </xf>
    <xf numFmtId="0" fontId="17" fillId="12" borderId="12" xfId="0" applyFont="1" applyFill="1" applyBorder="1" applyAlignment="1">
      <alignment horizontal="center" vertical="center"/>
    </xf>
    <xf numFmtId="0" fontId="17" fillId="9" borderId="12" xfId="0" applyFont="1" applyFill="1" applyBorder="1" applyAlignment="1">
      <alignment horizontal="center" vertical="center"/>
    </xf>
    <xf numFmtId="0" fontId="17" fillId="19" borderId="11" xfId="0" applyFont="1" applyFill="1" applyBorder="1" applyAlignment="1">
      <alignment horizontal="center" vertical="center"/>
    </xf>
    <xf numFmtId="0" fontId="17" fillId="19" borderId="13" xfId="0" applyFont="1" applyFill="1" applyBorder="1" applyAlignment="1">
      <alignment horizontal="center" vertical="center"/>
    </xf>
    <xf numFmtId="0" fontId="17" fillId="9" borderId="11" xfId="0" applyFont="1" applyFill="1" applyBorder="1" applyAlignment="1">
      <alignment horizontal="center"/>
    </xf>
    <xf numFmtId="0" fontId="17" fillId="9" borderId="12" xfId="0" applyFont="1" applyFill="1" applyBorder="1" applyAlignment="1">
      <alignment horizontal="center"/>
    </xf>
    <xf numFmtId="0" fontId="17" fillId="9" borderId="13" xfId="0" applyFont="1" applyFill="1" applyBorder="1" applyAlignment="1">
      <alignment horizontal="center"/>
    </xf>
    <xf numFmtId="0" fontId="17" fillId="15" borderId="11" xfId="0" applyFont="1" applyFill="1" applyBorder="1" applyAlignment="1">
      <alignment horizontal="center" vertical="center"/>
    </xf>
    <xf numFmtId="0" fontId="17" fillId="15" borderId="12" xfId="0" applyFont="1" applyFill="1" applyBorder="1" applyAlignment="1">
      <alignment horizontal="center" vertical="center"/>
    </xf>
    <xf numFmtId="0" fontId="17" fillId="15" borderId="13" xfId="0" applyFont="1" applyFill="1" applyBorder="1" applyAlignment="1">
      <alignment horizontal="center" vertical="center"/>
    </xf>
    <xf numFmtId="0" fontId="17" fillId="20" borderId="11" xfId="0" applyFont="1" applyFill="1" applyBorder="1" applyAlignment="1">
      <alignment horizontal="center" vertical="center"/>
    </xf>
    <xf numFmtId="0" fontId="17" fillId="20" borderId="12" xfId="0" applyFont="1" applyFill="1" applyBorder="1" applyAlignment="1">
      <alignment horizontal="center" vertical="center"/>
    </xf>
    <xf numFmtId="0" fontId="17" fillId="20" borderId="13" xfId="0" applyFont="1" applyFill="1" applyBorder="1" applyAlignment="1">
      <alignment horizontal="center" vertical="center"/>
    </xf>
    <xf numFmtId="0" fontId="17" fillId="18" borderId="11" xfId="0" applyFont="1" applyFill="1" applyBorder="1" applyAlignment="1">
      <alignment horizontal="center" vertical="center"/>
    </xf>
    <xf numFmtId="0" fontId="17" fillId="18" borderId="12" xfId="0" applyFont="1" applyFill="1" applyBorder="1" applyAlignment="1">
      <alignment horizontal="center" vertical="center"/>
    </xf>
    <xf numFmtId="0" fontId="17" fillId="18" borderId="13" xfId="0" applyFont="1" applyFill="1" applyBorder="1" applyAlignment="1">
      <alignment horizontal="center" vertical="center"/>
    </xf>
    <xf numFmtId="0" fontId="17" fillId="22" borderId="11" xfId="0" applyFont="1" applyFill="1" applyBorder="1" applyAlignment="1">
      <alignment horizontal="center" vertical="center"/>
    </xf>
    <xf numFmtId="0" fontId="17" fillId="22" borderId="12" xfId="0" applyFont="1" applyFill="1" applyBorder="1" applyAlignment="1">
      <alignment horizontal="center" vertical="center"/>
    </xf>
    <xf numFmtId="0" fontId="17" fillId="22" borderId="13" xfId="0" applyFont="1" applyFill="1" applyBorder="1" applyAlignment="1">
      <alignment horizontal="center" vertical="center"/>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7" xfId="0" applyFill="1" applyBorder="1" applyAlignment="1">
      <alignment horizontal="left" vertical="center"/>
    </xf>
    <xf numFmtId="0" fontId="0" fillId="0" borderId="5" xfId="0" applyFill="1" applyBorder="1" applyAlignment="1">
      <alignment horizontal="left" vertical="center"/>
    </xf>
    <xf numFmtId="0" fontId="0" fillId="0" borderId="91" xfId="0" applyFill="1" applyBorder="1" applyAlignment="1">
      <alignment horizontal="left" vertical="center"/>
    </xf>
    <xf numFmtId="0" fontId="0" fillId="0" borderId="37" xfId="0" applyFill="1" applyBorder="1" applyAlignment="1">
      <alignment horizontal="left" vertical="center"/>
    </xf>
    <xf numFmtId="0" fontId="0" fillId="14" borderId="14" xfId="0" applyFill="1" applyBorder="1" applyAlignment="1">
      <alignment horizontal="left" vertical="center"/>
    </xf>
    <xf numFmtId="0" fontId="0" fillId="14" borderId="0" xfId="0" applyFill="1" applyBorder="1" applyAlignment="1">
      <alignment horizontal="left" vertical="center"/>
    </xf>
    <xf numFmtId="0" fontId="0" fillId="3" borderId="5" xfId="0" applyFill="1" applyBorder="1" applyAlignment="1">
      <alignment horizontal="center" vertical="center"/>
    </xf>
    <xf numFmtId="0" fontId="16" fillId="12" borderId="101" xfId="0" applyFont="1" applyFill="1" applyBorder="1" applyAlignment="1">
      <alignment horizontal="center" vertical="center"/>
    </xf>
    <xf numFmtId="0" fontId="16" fillId="12" borderId="102" xfId="0" applyFont="1" applyFill="1" applyBorder="1" applyAlignment="1">
      <alignment horizontal="center" vertical="center"/>
    </xf>
    <xf numFmtId="0" fontId="16" fillId="14" borderId="91" xfId="0" applyFont="1" applyFill="1" applyBorder="1" applyAlignment="1">
      <alignment horizontal="right" vertical="center"/>
    </xf>
    <xf numFmtId="0" fontId="16" fillId="14" borderId="37" xfId="0" applyFont="1" applyFill="1" applyBorder="1" applyAlignment="1">
      <alignment horizontal="right" vertical="center"/>
    </xf>
    <xf numFmtId="0" fontId="16" fillId="14" borderId="94" xfId="0" applyFont="1" applyFill="1" applyBorder="1" applyAlignment="1">
      <alignment horizontal="center" vertical="center"/>
    </xf>
    <xf numFmtId="0" fontId="16" fillId="14" borderId="95" xfId="0" applyFont="1" applyFill="1" applyBorder="1" applyAlignment="1">
      <alignment horizontal="center" vertical="center"/>
    </xf>
    <xf numFmtId="0" fontId="16" fillId="14" borderId="96" xfId="0" applyFont="1" applyFill="1"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3" borderId="0" xfId="0" applyFill="1" applyBorder="1" applyAlignment="1">
      <alignment horizontal="center" vertical="center"/>
    </xf>
    <xf numFmtId="0" fontId="16" fillId="20" borderId="11" xfId="0" applyFont="1" applyFill="1" applyBorder="1" applyAlignment="1">
      <alignment horizontal="center"/>
    </xf>
    <xf numFmtId="0" fontId="16" fillId="20" borderId="13" xfId="0" applyFont="1" applyFill="1" applyBorder="1" applyAlignment="1">
      <alignment horizontal="center"/>
    </xf>
    <xf numFmtId="0" fontId="19" fillId="0" borderId="89" xfId="0" applyFont="1" applyBorder="1" applyAlignment="1">
      <alignment horizontal="center" vertical="center"/>
    </xf>
    <xf numFmtId="0" fontId="19" fillId="0" borderId="90" xfId="0" applyFont="1" applyBorder="1" applyAlignment="1">
      <alignment horizontal="center" vertical="center"/>
    </xf>
    <xf numFmtId="0" fontId="19" fillId="0" borderId="55" xfId="0" applyFont="1" applyBorder="1" applyAlignment="1">
      <alignment horizontal="center" vertical="center"/>
    </xf>
    <xf numFmtId="0" fontId="21" fillId="0" borderId="28" xfId="0" applyFont="1" applyBorder="1" applyAlignment="1">
      <alignment horizontal="center" vertical="center"/>
    </xf>
    <xf numFmtId="0" fontId="21" fillId="0" borderId="25" xfId="0" applyFont="1" applyBorder="1" applyAlignment="1">
      <alignment horizontal="center" vertical="center"/>
    </xf>
    <xf numFmtId="0" fontId="21" fillId="0" borderId="29" xfId="0" applyFont="1" applyBorder="1" applyAlignment="1">
      <alignment horizontal="center" vertical="center"/>
    </xf>
    <xf numFmtId="0" fontId="15" fillId="0" borderId="17" xfId="0" applyFont="1" applyBorder="1" applyAlignment="1">
      <alignment horizontal="right"/>
    </xf>
    <xf numFmtId="0" fontId="15" fillId="0" borderId="5" xfId="0" applyFont="1" applyBorder="1" applyAlignment="1">
      <alignment horizontal="right"/>
    </xf>
    <xf numFmtId="0" fontId="16" fillId="23" borderId="11" xfId="0" applyFont="1" applyFill="1" applyBorder="1" applyAlignment="1">
      <alignment horizontal="center" vertical="center"/>
    </xf>
    <xf numFmtId="0" fontId="16" fillId="23" borderId="12" xfId="0" applyFont="1" applyFill="1" applyBorder="1" applyAlignment="1">
      <alignment horizontal="center" vertical="center"/>
    </xf>
    <xf numFmtId="0" fontId="16" fillId="23" borderId="13" xfId="0" applyFont="1" applyFill="1" applyBorder="1" applyAlignment="1">
      <alignment horizontal="center" vertical="center"/>
    </xf>
    <xf numFmtId="0" fontId="15" fillId="0" borderId="48" xfId="0" applyFont="1" applyBorder="1" applyAlignment="1">
      <alignment horizontal="center"/>
    </xf>
    <xf numFmtId="0" fontId="15" fillId="0" borderId="32" xfId="0" applyFont="1" applyBorder="1" applyAlignment="1">
      <alignment horizontal="center"/>
    </xf>
    <xf numFmtId="0" fontId="16" fillId="15" borderId="11" xfId="0" applyFont="1" applyFill="1" applyBorder="1" applyAlignment="1">
      <alignment horizontal="center" vertical="center"/>
    </xf>
    <xf numFmtId="0" fontId="16" fillId="15" borderId="12" xfId="0" applyFont="1" applyFill="1" applyBorder="1" applyAlignment="1">
      <alignment horizontal="center" vertical="center"/>
    </xf>
    <xf numFmtId="0" fontId="16" fillId="15" borderId="13" xfId="0" applyFont="1" applyFill="1" applyBorder="1" applyAlignment="1">
      <alignment horizontal="center" vertical="center"/>
    </xf>
    <xf numFmtId="0" fontId="15" fillId="0" borderId="35" xfId="0" applyFont="1" applyBorder="1" applyAlignment="1">
      <alignment horizontal="center"/>
    </xf>
    <xf numFmtId="0" fontId="15" fillId="0" borderId="38" xfId="0" applyFont="1" applyBorder="1" applyAlignment="1">
      <alignment horizontal="center"/>
    </xf>
    <xf numFmtId="0" fontId="20" fillId="12" borderId="11" xfId="0" applyFont="1" applyFill="1" applyBorder="1" applyAlignment="1">
      <alignment horizontal="center" vertical="center"/>
    </xf>
    <xf numFmtId="0" fontId="20" fillId="12" borderId="12" xfId="0" applyFont="1" applyFill="1" applyBorder="1" applyAlignment="1">
      <alignment horizontal="center" vertical="center"/>
    </xf>
    <xf numFmtId="0" fontId="20" fillId="12" borderId="13" xfId="0" applyFont="1" applyFill="1" applyBorder="1" applyAlignment="1">
      <alignment horizontal="center" vertical="center"/>
    </xf>
    <xf numFmtId="0" fontId="16" fillId="12" borderId="6" xfId="0" applyFont="1" applyFill="1" applyBorder="1" applyAlignment="1">
      <alignment horizontal="center" vertical="center"/>
    </xf>
    <xf numFmtId="0" fontId="16" fillId="12" borderId="7" xfId="0" applyFont="1" applyFill="1" applyBorder="1" applyAlignment="1">
      <alignment horizontal="center" vertical="center"/>
    </xf>
    <xf numFmtId="0" fontId="16" fillId="12" borderId="8" xfId="0" applyFont="1" applyFill="1" applyBorder="1" applyAlignment="1">
      <alignment horizontal="center" vertical="center"/>
    </xf>
    <xf numFmtId="0" fontId="16" fillId="0" borderId="15" xfId="0" applyFont="1" applyBorder="1" applyAlignment="1">
      <alignment horizontal="center" vertical="center"/>
    </xf>
    <xf numFmtId="0" fontId="16" fillId="0" borderId="10" xfId="0" applyFont="1" applyBorder="1" applyAlignment="1">
      <alignment horizontal="center" vertical="center"/>
    </xf>
    <xf numFmtId="0" fontId="16" fillId="0" borderId="16" xfId="0" applyFont="1" applyBorder="1" applyAlignment="1">
      <alignment horizontal="center" vertical="center"/>
    </xf>
    <xf numFmtId="168" fontId="0" fillId="0" borderId="33" xfId="0" applyNumberFormat="1" applyBorder="1" applyAlignment="1">
      <alignment horizontal="center"/>
    </xf>
    <xf numFmtId="168" fontId="0" fillId="0" borderId="21" xfId="0" applyNumberFormat="1" applyBorder="1" applyAlignment="1">
      <alignment horizontal="center"/>
    </xf>
    <xf numFmtId="168" fontId="0" fillId="0" borderId="26" xfId="0" applyNumberFormat="1" applyBorder="1" applyAlignment="1">
      <alignment horizontal="center"/>
    </xf>
    <xf numFmtId="168" fontId="0" fillId="0" borderId="20" xfId="0" applyNumberFormat="1" applyBorder="1" applyAlignment="1">
      <alignment horizontal="center"/>
    </xf>
    <xf numFmtId="168" fontId="0" fillId="0" borderId="28" xfId="0" applyNumberFormat="1" applyBorder="1" applyAlignment="1">
      <alignment horizontal="center"/>
    </xf>
    <xf numFmtId="168" fontId="0" fillId="0" borderId="25" xfId="0" applyNumberFormat="1" applyBorder="1" applyAlignment="1">
      <alignment horizontal="center"/>
    </xf>
    <xf numFmtId="0" fontId="0" fillId="0" borderId="1" xfId="0" applyBorder="1" applyAlignment="1">
      <alignment horizontal="center"/>
    </xf>
    <xf numFmtId="0" fontId="0" fillId="0" borderId="34" xfId="0" applyBorder="1" applyAlignment="1">
      <alignment horizontal="center"/>
    </xf>
    <xf numFmtId="0" fontId="16" fillId="0" borderId="49" xfId="0" applyFont="1" applyBorder="1" applyAlignment="1">
      <alignment horizontal="center" vertical="center"/>
    </xf>
    <xf numFmtId="0" fontId="16" fillId="0" borderId="34" xfId="0" applyFont="1" applyBorder="1" applyAlignment="1">
      <alignment horizontal="center" vertical="center"/>
    </xf>
    <xf numFmtId="0" fontId="0" fillId="0" borderId="48" xfId="0" applyBorder="1" applyAlignment="1">
      <alignment horizontal="center"/>
    </xf>
    <xf numFmtId="0" fontId="0" fillId="0" borderId="32" xfId="0" applyBorder="1" applyAlignment="1">
      <alignment horizontal="center"/>
    </xf>
    <xf numFmtId="0" fontId="16" fillId="16" borderId="11" xfId="0" applyFont="1" applyFill="1" applyBorder="1" applyAlignment="1">
      <alignment horizontal="center" vertical="center"/>
    </xf>
    <xf numFmtId="0" fontId="16" fillId="16" borderId="12" xfId="0" applyFont="1" applyFill="1" applyBorder="1" applyAlignment="1">
      <alignment horizontal="center" vertical="center"/>
    </xf>
    <xf numFmtId="0" fontId="16" fillId="16" borderId="13" xfId="0" applyFont="1" applyFill="1" applyBorder="1" applyAlignment="1">
      <alignment horizontal="center" vertical="center"/>
    </xf>
    <xf numFmtId="0" fontId="15" fillId="2" borderId="48" xfId="0" applyFont="1" applyFill="1" applyBorder="1" applyAlignment="1">
      <alignment horizontal="center"/>
    </xf>
    <xf numFmtId="0" fontId="15" fillId="2" borderId="32" xfId="0" applyFont="1" applyFill="1" applyBorder="1" applyAlignment="1">
      <alignment horizontal="center"/>
    </xf>
    <xf numFmtId="0" fontId="16" fillId="23" borderId="11" xfId="0" applyFont="1" applyFill="1" applyBorder="1" applyAlignment="1">
      <alignment horizontal="center"/>
    </xf>
    <xf numFmtId="0" fontId="16" fillId="23" borderId="12" xfId="0" applyFont="1" applyFill="1" applyBorder="1" applyAlignment="1">
      <alignment horizontal="center"/>
    </xf>
    <xf numFmtId="0" fontId="16" fillId="23" borderId="13" xfId="0" applyFont="1" applyFill="1" applyBorder="1" applyAlignment="1">
      <alignment horizontal="center"/>
    </xf>
    <xf numFmtId="0" fontId="0" fillId="0" borderId="80" xfId="0" applyBorder="1" applyAlignment="1">
      <alignment horizontal="center"/>
    </xf>
    <xf numFmtId="0" fontId="15" fillId="0" borderId="11" xfId="0" applyFont="1" applyFill="1" applyBorder="1" applyAlignment="1">
      <alignment horizontal="center"/>
    </xf>
    <xf numFmtId="0" fontId="15" fillId="0" borderId="12" xfId="0" applyFont="1" applyFill="1" applyBorder="1" applyAlignment="1">
      <alignment horizontal="center"/>
    </xf>
    <xf numFmtId="0" fontId="15" fillId="0" borderId="13" xfId="0" applyFont="1" applyFill="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15" fillId="0" borderId="80" xfId="0" applyFont="1" applyBorder="1" applyAlignment="1">
      <alignment horizontal="center"/>
    </xf>
    <xf numFmtId="0" fontId="16" fillId="21" borderId="11" xfId="0" applyFont="1" applyFill="1" applyBorder="1" applyAlignment="1">
      <alignment horizontal="center"/>
    </xf>
    <xf numFmtId="0" fontId="16" fillId="21" borderId="12" xfId="0" applyFont="1" applyFill="1" applyBorder="1" applyAlignment="1">
      <alignment horizontal="center"/>
    </xf>
    <xf numFmtId="0" fontId="16" fillId="21" borderId="13" xfId="0" applyFont="1" applyFill="1" applyBorder="1" applyAlignment="1">
      <alignment horizontal="center"/>
    </xf>
    <xf numFmtId="0" fontId="16" fillId="12" borderId="11" xfId="0" applyFont="1" applyFill="1" applyBorder="1" applyAlignment="1">
      <alignment horizontal="center" vertical="center"/>
    </xf>
    <xf numFmtId="0" fontId="16" fillId="12" borderId="12" xfId="0" applyFont="1" applyFill="1" applyBorder="1" applyAlignment="1">
      <alignment horizontal="center" vertical="center"/>
    </xf>
    <xf numFmtId="0" fontId="16" fillId="12" borderId="13" xfId="0" applyFont="1" applyFill="1" applyBorder="1" applyAlignment="1">
      <alignment horizontal="center" vertical="center"/>
    </xf>
    <xf numFmtId="0" fontId="0" fillId="0" borderId="9" xfId="0" applyFill="1" applyBorder="1" applyAlignment="1">
      <alignment horizontal="center"/>
    </xf>
    <xf numFmtId="0" fontId="0" fillId="0" borderId="30" xfId="0" applyFill="1" applyBorder="1" applyAlignment="1">
      <alignment horizontal="center"/>
    </xf>
    <xf numFmtId="0" fontId="16" fillId="20" borderId="11" xfId="0" applyFont="1" applyFill="1" applyBorder="1" applyAlignment="1">
      <alignment horizontal="center" vertical="center"/>
    </xf>
    <xf numFmtId="0" fontId="16" fillId="20" borderId="13" xfId="0" applyFont="1" applyFill="1" applyBorder="1" applyAlignment="1">
      <alignment horizontal="center" vertical="center"/>
    </xf>
    <xf numFmtId="0" fontId="16" fillId="21" borderId="11" xfId="0" applyFont="1" applyFill="1" applyBorder="1" applyAlignment="1">
      <alignment horizontal="center" vertical="center"/>
    </xf>
    <xf numFmtId="0" fontId="16" fillId="21" borderId="12" xfId="0" applyFont="1" applyFill="1" applyBorder="1" applyAlignment="1">
      <alignment horizontal="center" vertical="center"/>
    </xf>
    <xf numFmtId="0" fontId="16" fillId="20" borderId="12" xfId="0" applyFont="1" applyFill="1" applyBorder="1" applyAlignment="1">
      <alignment horizontal="center" vertical="center"/>
    </xf>
    <xf numFmtId="0" fontId="0" fillId="0" borderId="0" xfId="0" applyBorder="1" applyAlignment="1">
      <alignment horizontal="left" vertical="top" wrapText="1"/>
    </xf>
    <xf numFmtId="0" fontId="0" fillId="0" borderId="56" xfId="0" applyBorder="1" applyAlignment="1">
      <alignment horizontal="left" vertical="top" wrapText="1"/>
    </xf>
    <xf numFmtId="0" fontId="0" fillId="0" borderId="5" xfId="0" applyBorder="1" applyAlignment="1">
      <alignment horizontal="left" vertical="top" wrapText="1"/>
    </xf>
    <xf numFmtId="0" fontId="0" fillId="0" borderId="18" xfId="0" applyBorder="1" applyAlignment="1">
      <alignment horizontal="left" vertical="top" wrapText="1"/>
    </xf>
    <xf numFmtId="0" fontId="23" fillId="9" borderId="0" xfId="0" applyFont="1" applyFill="1" applyAlignment="1">
      <alignment horizontal="center" vertical="center"/>
    </xf>
    <xf numFmtId="0" fontId="12" fillId="0" borderId="0" xfId="0" applyFont="1" applyAlignment="1">
      <alignment horizontal="center" vertical="center"/>
    </xf>
    <xf numFmtId="0" fontId="34" fillId="0" borderId="91" xfId="0" applyFont="1" applyBorder="1" applyAlignment="1">
      <alignment horizontal="center" vertical="center"/>
    </xf>
    <xf numFmtId="0" fontId="34" fillId="0" borderId="92" xfId="0" applyFont="1" applyBorder="1" applyAlignment="1">
      <alignment horizontal="center" vertical="center"/>
    </xf>
    <xf numFmtId="0" fontId="0" fillId="0" borderId="22" xfId="0" applyFill="1" applyBorder="1" applyAlignment="1">
      <alignment horizontal="center"/>
    </xf>
    <xf numFmtId="0" fontId="0" fillId="0" borderId="23" xfId="0" applyFill="1" applyBorder="1" applyAlignment="1">
      <alignment horizontal="center"/>
    </xf>
    <xf numFmtId="0" fontId="1"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Alignment="1">
      <alignment horizontal="center" vertical="center" wrapText="1"/>
    </xf>
  </cellXfs>
  <cellStyles count="5">
    <cellStyle name="Comma" xfId="4" builtinId="3"/>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FFFFCC"/>
      <color rgb="FFCC3300"/>
      <color rgb="FFFFCCFF"/>
      <color rgb="FFFFFF99"/>
      <color rgb="FFFF66FF"/>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Analysis!$H$3:$H$25</c:f>
              <c:numCache>
                <c:formatCode>0.0</c:formatCode>
                <c:ptCount val="23"/>
                <c:pt idx="0">
                  <c:v>0.0</c:v>
                </c:pt>
                <c:pt idx="1">
                  <c:v>0.219524653739612</c:v>
                </c:pt>
                <c:pt idx="2">
                  <c:v>0.412120191903038</c:v>
                </c:pt>
                <c:pt idx="3">
                  <c:v>0.492910125568282</c:v>
                </c:pt>
                <c:pt idx="4">
                  <c:v>0.620207005051476</c:v>
                </c:pt>
                <c:pt idx="5">
                  <c:v>0.728969237498177</c:v>
                </c:pt>
                <c:pt idx="6">
                  <c:v>1.150031077109598</c:v>
                </c:pt>
                <c:pt idx="7">
                  <c:v>1.249073603986858</c:v>
                </c:pt>
                <c:pt idx="8">
                  <c:v>1.386969329660239</c:v>
                </c:pt>
                <c:pt idx="9">
                  <c:v>1.468215190461203</c:v>
                </c:pt>
                <c:pt idx="10">
                  <c:v>1.727636222141717</c:v>
                </c:pt>
                <c:pt idx="11">
                  <c:v>2.85261046712578</c:v>
                </c:pt>
                <c:pt idx="12">
                  <c:v>2.925365287769927</c:v>
                </c:pt>
                <c:pt idx="13">
                  <c:v>5.566072877952924</c:v>
                </c:pt>
                <c:pt idx="14">
                  <c:v>5.849972341106938</c:v>
                </c:pt>
                <c:pt idx="15">
                  <c:v>6.31926505416429</c:v>
                </c:pt>
                <c:pt idx="16">
                  <c:v>10.09185493460166</c:v>
                </c:pt>
                <c:pt idx="17">
                  <c:v>12.0594328266286</c:v>
                </c:pt>
                <c:pt idx="18">
                  <c:v>15.72690096832684</c:v>
                </c:pt>
                <c:pt idx="19">
                  <c:v>19.679925</c:v>
                </c:pt>
                <c:pt idx="20">
                  <c:v>22.05254081005396</c:v>
                </c:pt>
                <c:pt idx="21">
                  <c:v>28.4112951227198</c:v>
                </c:pt>
                <c:pt idx="22">
                  <c:v>115.9264298311917</c:v>
                </c:pt>
              </c:numCache>
            </c:numRef>
          </c:val>
        </c:ser>
        <c:dLbls>
          <c:showLegendKey val="0"/>
          <c:showVal val="0"/>
          <c:showCatName val="0"/>
          <c:showSerName val="0"/>
          <c:showPercent val="0"/>
          <c:showBubbleSize val="0"/>
        </c:dLbls>
        <c:gapWidth val="150"/>
        <c:axId val="2101217224"/>
        <c:axId val="2101084376"/>
      </c:barChart>
      <c:catAx>
        <c:axId val="2101217224"/>
        <c:scaling>
          <c:orientation val="minMax"/>
        </c:scaling>
        <c:delete val="0"/>
        <c:axPos val="b"/>
        <c:majorTickMark val="out"/>
        <c:minorTickMark val="none"/>
        <c:tickLblPos val="nextTo"/>
        <c:crossAx val="2101084376"/>
        <c:crosses val="autoZero"/>
        <c:auto val="1"/>
        <c:lblAlgn val="ctr"/>
        <c:lblOffset val="100"/>
        <c:noMultiLvlLbl val="0"/>
      </c:catAx>
      <c:valAx>
        <c:axId val="2101084376"/>
        <c:scaling>
          <c:orientation val="minMax"/>
        </c:scaling>
        <c:delete val="0"/>
        <c:axPos val="l"/>
        <c:majorGridlines/>
        <c:numFmt formatCode="0.0" sourceLinked="1"/>
        <c:majorTickMark val="out"/>
        <c:minorTickMark val="none"/>
        <c:tickLblPos val="nextTo"/>
        <c:crossAx val="21012172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Analysis!$D$29:$D$51</c:f>
              <c:numCache>
                <c:formatCode>General</c:formatCode>
                <c:ptCount val="23"/>
                <c:pt idx="0">
                  <c:v>30.0</c:v>
                </c:pt>
                <c:pt idx="1">
                  <c:v>30.0</c:v>
                </c:pt>
                <c:pt idx="2">
                  <c:v>31.0</c:v>
                </c:pt>
                <c:pt idx="3">
                  <c:v>32.0</c:v>
                </c:pt>
                <c:pt idx="4">
                  <c:v>35.0</c:v>
                </c:pt>
                <c:pt idx="5">
                  <c:v>35.0</c:v>
                </c:pt>
                <c:pt idx="6">
                  <c:v>36.0</c:v>
                </c:pt>
                <c:pt idx="7">
                  <c:v>36.0</c:v>
                </c:pt>
                <c:pt idx="8">
                  <c:v>37.0</c:v>
                </c:pt>
                <c:pt idx="9">
                  <c:v>37.0</c:v>
                </c:pt>
                <c:pt idx="10">
                  <c:v>37.0</c:v>
                </c:pt>
                <c:pt idx="11">
                  <c:v>38.0</c:v>
                </c:pt>
                <c:pt idx="12">
                  <c:v>38.0</c:v>
                </c:pt>
                <c:pt idx="13">
                  <c:v>39.0</c:v>
                </c:pt>
                <c:pt idx="14">
                  <c:v>41.0</c:v>
                </c:pt>
                <c:pt idx="15">
                  <c:v>43.0</c:v>
                </c:pt>
                <c:pt idx="16">
                  <c:v>44.0</c:v>
                </c:pt>
                <c:pt idx="17">
                  <c:v>44.0</c:v>
                </c:pt>
                <c:pt idx="18">
                  <c:v>45.0</c:v>
                </c:pt>
                <c:pt idx="19">
                  <c:v>45.0</c:v>
                </c:pt>
                <c:pt idx="20">
                  <c:v>46.0</c:v>
                </c:pt>
                <c:pt idx="21">
                  <c:v>46.0</c:v>
                </c:pt>
                <c:pt idx="22">
                  <c:v>52.0</c:v>
                </c:pt>
              </c:numCache>
            </c:numRef>
          </c:val>
        </c:ser>
        <c:dLbls>
          <c:showLegendKey val="0"/>
          <c:showVal val="0"/>
          <c:showCatName val="0"/>
          <c:showSerName val="0"/>
          <c:showPercent val="0"/>
          <c:showBubbleSize val="0"/>
        </c:dLbls>
        <c:gapWidth val="150"/>
        <c:axId val="2100731144"/>
        <c:axId val="2100663272"/>
      </c:barChart>
      <c:catAx>
        <c:axId val="2100731144"/>
        <c:scaling>
          <c:orientation val="minMax"/>
        </c:scaling>
        <c:delete val="0"/>
        <c:axPos val="b"/>
        <c:majorTickMark val="out"/>
        <c:minorTickMark val="none"/>
        <c:tickLblPos val="nextTo"/>
        <c:crossAx val="2100663272"/>
        <c:crosses val="autoZero"/>
        <c:auto val="1"/>
        <c:lblAlgn val="ctr"/>
        <c:lblOffset val="100"/>
        <c:noMultiLvlLbl val="0"/>
      </c:catAx>
      <c:valAx>
        <c:axId val="2100663272"/>
        <c:scaling>
          <c:orientation val="minMax"/>
        </c:scaling>
        <c:delete val="0"/>
        <c:axPos val="l"/>
        <c:majorGridlines/>
        <c:numFmt formatCode="General" sourceLinked="1"/>
        <c:majorTickMark val="out"/>
        <c:minorTickMark val="none"/>
        <c:tickLblPos val="nextTo"/>
        <c:crossAx val="21007311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Depreciated Assets</a:t>
            </a:r>
          </a:p>
        </c:rich>
      </c:tx>
      <c:layout/>
      <c:overlay val="0"/>
    </c:title>
    <c:autoTitleDeleted val="0"/>
    <c:plotArea>
      <c:layout/>
      <c:barChart>
        <c:barDir val="col"/>
        <c:grouping val="clustered"/>
        <c:varyColors val="0"/>
        <c:ser>
          <c:idx val="0"/>
          <c:order val="0"/>
          <c:tx>
            <c:strRef>
              <c:f>Matrix!$BT$2</c:f>
              <c:strCache>
                <c:ptCount val="1"/>
                <c:pt idx="0">
                  <c:v>Percent of Assets Depreciated</c:v>
                </c:pt>
              </c:strCache>
            </c:strRef>
          </c:tx>
          <c:invertIfNegative val="0"/>
          <c:cat>
            <c:strRef>
              <c:f>Matrix!$H$3:$H$25</c:f>
              <c:strCache>
                <c:ptCount val="23"/>
                <c:pt idx="0">
                  <c:v>ASHLAND</c:v>
                </c:pt>
                <c:pt idx="1">
                  <c:v>CARIBOU</c:v>
                </c:pt>
                <c:pt idx="2">
                  <c:v>EAGLE LAKE</c:v>
                </c:pt>
                <c:pt idx="3">
                  <c:v>FORT FAIRFIELD</c:v>
                </c:pt>
                <c:pt idx="4">
                  <c:v>FORT KENT</c:v>
                </c:pt>
                <c:pt idx="5">
                  <c:v>GRAND ISLE</c:v>
                </c:pt>
                <c:pt idx="6">
                  <c:v>HOULTON</c:v>
                </c:pt>
                <c:pt idx="7">
                  <c:v>ISLAND FALLS</c:v>
                </c:pt>
                <c:pt idx="8">
                  <c:v>LIMESTONE</c:v>
                </c:pt>
                <c:pt idx="9">
                  <c:v>MADAWASKA</c:v>
                </c:pt>
                <c:pt idx="10">
                  <c:v>MARS HILL, BLAINE,WESTFIELD</c:v>
                </c:pt>
                <c:pt idx="11">
                  <c:v>PRESQUE ISLE</c:v>
                </c:pt>
                <c:pt idx="12">
                  <c:v>ST FRANCIS</c:v>
                </c:pt>
                <c:pt idx="13">
                  <c:v>VAN BUREN</c:v>
                </c:pt>
                <c:pt idx="14">
                  <c:v>WASHBURN</c:v>
                </c:pt>
                <c:pt idx="15">
                  <c:v>BAILEYVILLE</c:v>
                </c:pt>
                <c:pt idx="16">
                  <c:v>CALAIS</c:v>
                </c:pt>
                <c:pt idx="17">
                  <c:v>DANFORTH</c:v>
                </c:pt>
                <c:pt idx="18">
                  <c:v>LUBEC</c:v>
                </c:pt>
                <c:pt idx="19">
                  <c:v>MACHIAS</c:v>
                </c:pt>
                <c:pt idx="20">
                  <c:v>MILBRIDGE</c:v>
                </c:pt>
                <c:pt idx="21">
                  <c:v>EASTPORT, PLEASANT POINT</c:v>
                </c:pt>
                <c:pt idx="22">
                  <c:v>HARRINGTON</c:v>
                </c:pt>
              </c:strCache>
            </c:strRef>
          </c:cat>
          <c:val>
            <c:numRef>
              <c:f>Matrix!$BT$3:$BT$25</c:f>
              <c:numCache>
                <c:formatCode>0.0%</c:formatCode>
                <c:ptCount val="23"/>
                <c:pt idx="0">
                  <c:v>0.473289795651547</c:v>
                </c:pt>
                <c:pt idx="1">
                  <c:v>0.424909226880876</c:v>
                </c:pt>
                <c:pt idx="2">
                  <c:v>0.257767825770785</c:v>
                </c:pt>
                <c:pt idx="3">
                  <c:v>0.415577958698002</c:v>
                </c:pt>
                <c:pt idx="5">
                  <c:v>0.390909577152638</c:v>
                </c:pt>
                <c:pt idx="6">
                  <c:v>0.417305843082456</c:v>
                </c:pt>
                <c:pt idx="7">
                  <c:v>0.180310190955458</c:v>
                </c:pt>
                <c:pt idx="8">
                  <c:v>0.422966228152925</c:v>
                </c:pt>
                <c:pt idx="9">
                  <c:v>0.279230614052852</c:v>
                </c:pt>
                <c:pt idx="11">
                  <c:v>0.441231040761413</c:v>
                </c:pt>
                <c:pt idx="12">
                  <c:v>0.182994369711608</c:v>
                </c:pt>
                <c:pt idx="13">
                  <c:v>0.691134899206711</c:v>
                </c:pt>
                <c:pt idx="14">
                  <c:v>0.3558017579268</c:v>
                </c:pt>
                <c:pt idx="15">
                  <c:v>0.432830017651122</c:v>
                </c:pt>
                <c:pt idx="16">
                  <c:v>0.229066660816558</c:v>
                </c:pt>
                <c:pt idx="17">
                  <c:v>0.330521761589548</c:v>
                </c:pt>
                <c:pt idx="18">
                  <c:v>0.724820631170519</c:v>
                </c:pt>
                <c:pt idx="19">
                  <c:v>0.482848217305754</c:v>
                </c:pt>
                <c:pt idx="20">
                  <c:v>0.18309097238573</c:v>
                </c:pt>
                <c:pt idx="21">
                  <c:v>0.170420768901999</c:v>
                </c:pt>
                <c:pt idx="22">
                  <c:v>0.18611289427586</c:v>
                </c:pt>
              </c:numCache>
            </c:numRef>
          </c:val>
        </c:ser>
        <c:dLbls>
          <c:showLegendKey val="0"/>
          <c:showVal val="0"/>
          <c:showCatName val="0"/>
          <c:showSerName val="0"/>
          <c:showPercent val="0"/>
          <c:showBubbleSize val="0"/>
        </c:dLbls>
        <c:gapWidth val="150"/>
        <c:axId val="2099482904"/>
        <c:axId val="2099478920"/>
      </c:barChart>
      <c:catAx>
        <c:axId val="2099482904"/>
        <c:scaling>
          <c:orientation val="minMax"/>
        </c:scaling>
        <c:delete val="0"/>
        <c:axPos val="b"/>
        <c:majorTickMark val="out"/>
        <c:minorTickMark val="none"/>
        <c:tickLblPos val="nextTo"/>
        <c:crossAx val="2099478920"/>
        <c:crosses val="autoZero"/>
        <c:auto val="1"/>
        <c:lblAlgn val="ctr"/>
        <c:lblOffset val="100"/>
        <c:noMultiLvlLbl val="0"/>
      </c:catAx>
      <c:valAx>
        <c:axId val="2099478920"/>
        <c:scaling>
          <c:orientation val="minMax"/>
        </c:scaling>
        <c:delete val="0"/>
        <c:axPos val="l"/>
        <c:majorGridlines/>
        <c:numFmt formatCode="0.0%" sourceLinked="1"/>
        <c:majorTickMark val="out"/>
        <c:minorTickMark val="none"/>
        <c:tickLblPos val="nextTo"/>
        <c:crossAx val="2099482904"/>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Financial Grade</a:t>
            </a:r>
          </a:p>
        </c:rich>
      </c:tx>
      <c:layout/>
      <c:overlay val="0"/>
    </c:title>
    <c:autoTitleDeleted val="0"/>
    <c:plotArea>
      <c:layout/>
      <c:barChart>
        <c:barDir val="col"/>
        <c:grouping val="clustered"/>
        <c:varyColors val="0"/>
        <c:ser>
          <c:idx val="0"/>
          <c:order val="0"/>
          <c:tx>
            <c:strRef>
              <c:f>Matrix!$CP$2</c:f>
              <c:strCache>
                <c:ptCount val="1"/>
                <c:pt idx="0">
                  <c:v>Op+Sales-Exp Ratio Evaluation (high good)</c:v>
                </c:pt>
              </c:strCache>
            </c:strRef>
          </c:tx>
          <c:invertIfNegative val="0"/>
          <c:cat>
            <c:strRef>
              <c:f>Matrix!$H$3:$H$25</c:f>
              <c:strCache>
                <c:ptCount val="23"/>
                <c:pt idx="0">
                  <c:v>ASHLAND</c:v>
                </c:pt>
                <c:pt idx="1">
                  <c:v>CARIBOU</c:v>
                </c:pt>
                <c:pt idx="2">
                  <c:v>EAGLE LAKE</c:v>
                </c:pt>
                <c:pt idx="3">
                  <c:v>FORT FAIRFIELD</c:v>
                </c:pt>
                <c:pt idx="4">
                  <c:v>FORT KENT</c:v>
                </c:pt>
                <c:pt idx="5">
                  <c:v>GRAND ISLE</c:v>
                </c:pt>
                <c:pt idx="6">
                  <c:v>HOULTON</c:v>
                </c:pt>
                <c:pt idx="7">
                  <c:v>ISLAND FALLS</c:v>
                </c:pt>
                <c:pt idx="8">
                  <c:v>LIMESTONE</c:v>
                </c:pt>
                <c:pt idx="9">
                  <c:v>MADAWASKA</c:v>
                </c:pt>
                <c:pt idx="10">
                  <c:v>MARS HILL, BLAINE,WESTFIELD</c:v>
                </c:pt>
                <c:pt idx="11">
                  <c:v>PRESQUE ISLE</c:v>
                </c:pt>
                <c:pt idx="12">
                  <c:v>ST FRANCIS</c:v>
                </c:pt>
                <c:pt idx="13">
                  <c:v>VAN BUREN</c:v>
                </c:pt>
                <c:pt idx="14">
                  <c:v>WASHBURN</c:v>
                </c:pt>
                <c:pt idx="15">
                  <c:v>BAILEYVILLE</c:v>
                </c:pt>
                <c:pt idx="16">
                  <c:v>CALAIS</c:v>
                </c:pt>
                <c:pt idx="17">
                  <c:v>DANFORTH</c:v>
                </c:pt>
                <c:pt idx="18">
                  <c:v>LUBEC</c:v>
                </c:pt>
                <c:pt idx="19">
                  <c:v>MACHIAS</c:v>
                </c:pt>
                <c:pt idx="20">
                  <c:v>MILBRIDGE</c:v>
                </c:pt>
                <c:pt idx="21">
                  <c:v>EASTPORT, PLEASANT POINT</c:v>
                </c:pt>
                <c:pt idx="22">
                  <c:v>HARRINGTON</c:v>
                </c:pt>
              </c:strCache>
            </c:strRef>
          </c:cat>
          <c:val>
            <c:numRef>
              <c:f>Matrix!$CP$3:$CP$25</c:f>
              <c:numCache>
                <c:formatCode>#,##0.00</c:formatCode>
                <c:ptCount val="23"/>
                <c:pt idx="0">
                  <c:v>1.542618542638994</c:v>
                </c:pt>
                <c:pt idx="1">
                  <c:v>2.045344066722215</c:v>
                </c:pt>
                <c:pt idx="2">
                  <c:v>1.716319506037072</c:v>
                </c:pt>
                <c:pt idx="3">
                  <c:v>1.457562245829154</c:v>
                </c:pt>
                <c:pt idx="4">
                  <c:v>1.564296633943242</c:v>
                </c:pt>
                <c:pt idx="5">
                  <c:v>2.127342336367428</c:v>
                </c:pt>
                <c:pt idx="6">
                  <c:v>1.450174841964515</c:v>
                </c:pt>
                <c:pt idx="7">
                  <c:v>2.812169529930618</c:v>
                </c:pt>
                <c:pt idx="8">
                  <c:v>1.3581840168407</c:v>
                </c:pt>
                <c:pt idx="9">
                  <c:v>1.730950940352513</c:v>
                </c:pt>
                <c:pt idx="10">
                  <c:v>1.82088403430328</c:v>
                </c:pt>
                <c:pt idx="11">
                  <c:v>1.900652141884706</c:v>
                </c:pt>
                <c:pt idx="12">
                  <c:v>1.647627424673501</c:v>
                </c:pt>
                <c:pt idx="13">
                  <c:v>1.289297656275823</c:v>
                </c:pt>
                <c:pt idx="14">
                  <c:v>1.380773919987878</c:v>
                </c:pt>
                <c:pt idx="15">
                  <c:v>1.789530547683726</c:v>
                </c:pt>
                <c:pt idx="16">
                  <c:v>2.060869537894919</c:v>
                </c:pt>
                <c:pt idx="17">
                  <c:v>2.094807907975816</c:v>
                </c:pt>
                <c:pt idx="18">
                  <c:v>1.313490328727279</c:v>
                </c:pt>
                <c:pt idx="19">
                  <c:v>1.551840662676883</c:v>
                </c:pt>
                <c:pt idx="20">
                  <c:v>2.226486525607811</c:v>
                </c:pt>
                <c:pt idx="21">
                  <c:v>1.735550155941257</c:v>
                </c:pt>
                <c:pt idx="22">
                  <c:v>2.322347718213721</c:v>
                </c:pt>
              </c:numCache>
            </c:numRef>
          </c:val>
        </c:ser>
        <c:dLbls>
          <c:showLegendKey val="0"/>
          <c:showVal val="0"/>
          <c:showCatName val="0"/>
          <c:showSerName val="0"/>
          <c:showPercent val="0"/>
          <c:showBubbleSize val="0"/>
        </c:dLbls>
        <c:gapWidth val="150"/>
        <c:axId val="2099440088"/>
        <c:axId val="2099437096"/>
      </c:barChart>
      <c:catAx>
        <c:axId val="2099440088"/>
        <c:scaling>
          <c:orientation val="minMax"/>
        </c:scaling>
        <c:delete val="0"/>
        <c:axPos val="b"/>
        <c:majorTickMark val="out"/>
        <c:minorTickMark val="none"/>
        <c:tickLblPos val="nextTo"/>
        <c:txPr>
          <a:bodyPr rot="-5400000" vert="horz"/>
          <a:lstStyle/>
          <a:p>
            <a:pPr>
              <a:defRPr sz="900" baseline="0"/>
            </a:pPr>
            <a:endParaRPr lang="en-US"/>
          </a:p>
        </c:txPr>
        <c:crossAx val="2099437096"/>
        <c:crosses val="autoZero"/>
        <c:auto val="1"/>
        <c:lblAlgn val="ctr"/>
        <c:lblOffset val="100"/>
        <c:noMultiLvlLbl val="0"/>
      </c:catAx>
      <c:valAx>
        <c:axId val="2099437096"/>
        <c:scaling>
          <c:orientation val="minMax"/>
          <c:min val="0.5"/>
        </c:scaling>
        <c:delete val="0"/>
        <c:axPos val="l"/>
        <c:majorGridlines/>
        <c:numFmt formatCode="#,##0.00" sourceLinked="1"/>
        <c:majorTickMark val="out"/>
        <c:minorTickMark val="none"/>
        <c:tickLblPos val="nextTo"/>
        <c:crossAx val="2099440088"/>
        <c:crosses val="autoZero"/>
        <c:crossBetween val="between"/>
      </c:valAx>
    </c:plotArea>
    <c:plotVisOnly val="1"/>
    <c:dispBlanksAs val="gap"/>
    <c:showDLblsOverMax val="0"/>
  </c:chart>
  <c:printSettings>
    <c:headerFooter/>
    <c:pageMargins b="0.750000000000001" l="0.700000000000001" r="0.700000000000001" t="0.750000000000001"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137583</xdr:colOff>
      <xdr:row>1</xdr:row>
      <xdr:rowOff>147108</xdr:rowOff>
    </xdr:from>
    <xdr:to>
      <xdr:col>16</xdr:col>
      <xdr:colOff>412750</xdr:colOff>
      <xdr:row>16</xdr:row>
      <xdr:rowOff>32808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30</xdr:row>
      <xdr:rowOff>138112</xdr:rowOff>
    </xdr:from>
    <xdr:to>
      <xdr:col>14</xdr:col>
      <xdr:colOff>85725</xdr:colOff>
      <xdr:row>45</xdr:row>
      <xdr:rowOff>14287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305858</xdr:colOff>
      <xdr:row>18</xdr:row>
      <xdr:rowOff>52919</xdr:rowOff>
    </xdr:from>
    <xdr:to>
      <xdr:col>16</xdr:col>
      <xdr:colOff>285749</xdr:colOff>
      <xdr:row>28</xdr:row>
      <xdr:rowOff>74085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105835</xdr:colOff>
      <xdr:row>42</xdr:row>
      <xdr:rowOff>87839</xdr:rowOff>
    </xdr:from>
    <xdr:to>
      <xdr:col>16</xdr:col>
      <xdr:colOff>433917</xdr:colOff>
      <xdr:row>53</xdr:row>
      <xdr:rowOff>158751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0.14114</cdr:x>
      <cdr:y>0.59101</cdr:y>
    </cdr:from>
    <cdr:to>
      <cdr:x>0.90155</cdr:x>
      <cdr:y>0.59441</cdr:y>
    </cdr:to>
    <cdr:cxnSp macro="">
      <cdr:nvCxnSpPr>
        <cdr:cNvPr id="3" name="Straight Connector 2"/>
        <cdr:cNvCxnSpPr/>
      </cdr:nvCxnSpPr>
      <cdr:spPr>
        <a:xfrm xmlns:a="http://schemas.openxmlformats.org/drawingml/2006/main" flipV="1">
          <a:off x="516966" y="1207184"/>
          <a:ext cx="2785299" cy="6944"/>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0.1043</cdr:x>
      <cdr:y>0.57732</cdr:y>
    </cdr:from>
    <cdr:to>
      <cdr:x>0.9668</cdr:x>
      <cdr:y>0.58078</cdr:y>
    </cdr:to>
    <cdr:sp macro="" textlink="">
      <cdr:nvSpPr>
        <cdr:cNvPr id="3" name="Straight Connector 2"/>
        <cdr:cNvSpPr/>
      </cdr:nvSpPr>
      <cdr:spPr>
        <a:xfrm xmlns:a="http://schemas.openxmlformats.org/drawingml/2006/main">
          <a:off x="418372" y="1311814"/>
          <a:ext cx="3459558" cy="7862"/>
        </a:xfrm>
        <a:prstGeom xmlns:a="http://schemas.openxmlformats.org/drawingml/2006/main" prst="line">
          <a:avLst/>
        </a:prstGeom>
        <a:ln xmlns:a="http://schemas.openxmlformats.org/drawingml/2006/main" w="15875">
          <a:solidFill>
            <a:schemeClr val="tx1">
              <a:lumMod val="95000"/>
              <a:lumOff val="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0.10874</cdr:x>
      <cdr:y>0.50932</cdr:y>
    </cdr:from>
    <cdr:to>
      <cdr:x>0.95478</cdr:x>
      <cdr:y>0.5141</cdr:y>
    </cdr:to>
    <cdr:sp macro="" textlink="">
      <cdr:nvSpPr>
        <cdr:cNvPr id="6" name="Straight Connector 5"/>
        <cdr:cNvSpPr/>
      </cdr:nvSpPr>
      <cdr:spPr>
        <a:xfrm xmlns:a="http://schemas.openxmlformats.org/drawingml/2006/main">
          <a:off x="436147" y="1157292"/>
          <a:ext cx="3393536" cy="10862"/>
        </a:xfrm>
        <a:prstGeom xmlns:a="http://schemas.openxmlformats.org/drawingml/2006/main" prst="line">
          <a:avLst/>
        </a:prstGeom>
        <a:ln xmlns:a="http://schemas.openxmlformats.org/drawingml/2006/main" w="15875">
          <a:solidFill>
            <a:schemeClr val="tx1">
              <a:lumMod val="95000"/>
              <a:lumOff val="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dy/Library/Mail%20Downloads/Primary%20Data/Danforth_PUCRpt%20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35 A Extracts"/>
      <sheetName val="General Instructions"/>
      <sheetName val="TofC"/>
      <sheetName val="Executive Summary"/>
      <sheetName val="Blank"/>
      <sheetName val="E-1"/>
      <sheetName val="E-2"/>
      <sheetName val="E-3"/>
      <sheetName val="E-4"/>
      <sheetName val="E-5"/>
      <sheetName val="E-6"/>
      <sheetName val="E-7"/>
      <sheetName val="E-8"/>
      <sheetName val="FS"/>
      <sheetName val="F-1"/>
      <sheetName val="F-2"/>
      <sheetName val="F-3"/>
      <sheetName val="F-4"/>
      <sheetName val="F-5"/>
      <sheetName val="F-6"/>
      <sheetName val="F-7"/>
      <sheetName val="F-8"/>
      <sheetName val="F-9"/>
      <sheetName val="F-9a"/>
      <sheetName val="F-10"/>
      <sheetName val="F-11"/>
      <sheetName val="F-12"/>
      <sheetName val="F-13"/>
      <sheetName val="F-14"/>
      <sheetName val="F-15"/>
      <sheetName val="F-16"/>
      <sheetName val="F-17"/>
      <sheetName val="F-18"/>
      <sheetName val="F-19"/>
      <sheetName val="F-20"/>
      <sheetName val="F-21"/>
      <sheetName val="F-22"/>
      <sheetName val="F-23"/>
      <sheetName val="F-24"/>
      <sheetName val="WS"/>
      <sheetName val="W-1"/>
      <sheetName val="W-1A"/>
      <sheetName val="W-2"/>
      <sheetName val="W-2a"/>
      <sheetName val="W-3"/>
      <sheetName val="W-3 (a)"/>
      <sheetName val="W-4"/>
      <sheetName val="W-5"/>
      <sheetName val="W-5a"/>
      <sheetName val="W-6"/>
      <sheetName val="W-7"/>
      <sheetName val="W-8"/>
      <sheetName val="W-9"/>
      <sheetName val="W-10"/>
      <sheetName val="W-11"/>
      <sheetName val="W-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3">
          <cell r="E23">
            <v>2260</v>
          </cell>
        </row>
        <row r="26">
          <cell r="E26">
            <v>52247</v>
          </cell>
        </row>
      </sheetData>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UD@GWI.NET" TargetMode="External"/><Relationship Id="rId4" Type="http://schemas.openxmlformats.org/officeDocument/2006/relationships/hyperlink" Target="mailto:washburnwsd@myfairpoint.net" TargetMode="External"/><Relationship Id="rId5" Type="http://schemas.openxmlformats.org/officeDocument/2006/relationships/vmlDrawing" Target="../drawings/vmlDrawing1.vml"/><Relationship Id="rId6" Type="http://schemas.openxmlformats.org/officeDocument/2006/relationships/vmlDrawing" Target="../drawings/vmlDrawing2.vml"/><Relationship Id="rId7" Type="http://schemas.openxmlformats.org/officeDocument/2006/relationships/comments" Target="../comments1.xml"/><Relationship Id="rId1" Type="http://schemas.openxmlformats.org/officeDocument/2006/relationships/hyperlink" Target="mailto:ashlandwater@atimaine.net" TargetMode="External"/><Relationship Id="rId2" Type="http://schemas.openxmlformats.org/officeDocument/2006/relationships/hyperlink" Target="mailto:grandisletown@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3.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vmlDrawing" Target="../drawings/vmlDrawing6.vml"/><Relationship Id="rId3"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rgb="FFFF0000"/>
    <pageSetUpPr fitToPage="1"/>
  </sheetPr>
  <dimension ref="A1:DO1048568"/>
  <sheetViews>
    <sheetView tabSelected="1" zoomScale="90" zoomScaleNormal="90" zoomScalePageLayoutView="90"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8.83203125" defaultRowHeight="14" x14ac:dyDescent="0.75"/>
  <cols>
    <col min="1" max="1" width="12" customWidth="1"/>
    <col min="2" max="2" width="30.33203125" customWidth="1"/>
    <col min="3" max="3" width="13.6640625" customWidth="1"/>
    <col min="4" max="4" width="10.83203125" customWidth="1"/>
    <col min="5" max="5" width="10.1640625" customWidth="1"/>
    <col min="6" max="6" width="11.83203125" customWidth="1"/>
    <col min="7" max="7" width="9.33203125" customWidth="1"/>
    <col min="8" max="8" width="14.33203125" style="21" customWidth="1"/>
    <col min="9" max="9" width="12.5" style="25" customWidth="1"/>
    <col min="10" max="10" width="10.83203125" style="25" customWidth="1"/>
    <col min="11" max="11" width="11.33203125" style="25" customWidth="1"/>
    <col min="12" max="12" width="9.5" style="20" customWidth="1"/>
    <col min="13" max="13" width="11.6640625" style="20" customWidth="1"/>
    <col min="14" max="14" width="10.33203125" style="20" customWidth="1"/>
    <col min="15" max="15" width="10.6640625" style="25" customWidth="1"/>
    <col min="16" max="16" width="8.6640625" style="42" customWidth="1"/>
    <col min="17" max="17" width="8.1640625" customWidth="1"/>
    <col min="18" max="18" width="11.33203125" style="61" customWidth="1"/>
    <col min="19" max="19" width="12.33203125" style="13" customWidth="1"/>
    <col min="20" max="20" width="12.5" style="61" customWidth="1"/>
    <col min="21" max="21" width="11.83203125" style="59" customWidth="1"/>
    <col min="22" max="22" width="10" style="26" customWidth="1"/>
    <col min="23" max="23" width="12" style="26" customWidth="1"/>
    <col min="24" max="24" width="10.83203125" style="13" customWidth="1"/>
    <col min="25" max="25" width="12" style="13" customWidth="1"/>
    <col min="26" max="26" width="8.1640625" style="13" customWidth="1"/>
    <col min="27" max="27" width="11.83203125" style="127" customWidth="1"/>
    <col min="28" max="28" width="9.5" style="13" customWidth="1"/>
    <col min="29" max="29" width="10.1640625" customWidth="1"/>
    <col min="30" max="30" width="12.1640625" customWidth="1"/>
    <col min="31" max="31" width="11.83203125" customWidth="1"/>
    <col min="32" max="32" width="7.6640625" customWidth="1"/>
    <col min="33" max="33" width="10.33203125" customWidth="1"/>
    <col min="34" max="34" width="9.33203125" customWidth="1"/>
    <col min="35" max="35" width="9.6640625" style="26" customWidth="1"/>
    <col min="36" max="36" width="10.6640625" style="26" customWidth="1"/>
    <col min="37" max="37" width="10.5" style="26" customWidth="1"/>
    <col min="38" max="38" width="12.83203125" style="61" customWidth="1"/>
    <col min="39" max="39" width="13.33203125" style="13" customWidth="1"/>
    <col min="40" max="40" width="12.5" style="13" customWidth="1"/>
    <col min="41" max="41" width="13.5" style="13" customWidth="1"/>
    <col min="42" max="42" width="11.83203125" style="56" customWidth="1"/>
    <col min="43" max="43" width="11.5" style="13" customWidth="1"/>
    <col min="44" max="44" width="8.83203125" style="13" customWidth="1"/>
    <col min="45" max="45" width="10.5" style="61" customWidth="1"/>
    <col min="46" max="46" width="11.83203125" customWidth="1"/>
    <col min="47" max="47" width="12.6640625" style="13" customWidth="1"/>
    <col min="48" max="48" width="10.6640625" customWidth="1"/>
    <col min="49" max="49" width="9.1640625" style="40" customWidth="1"/>
    <col min="50" max="51" width="12.33203125" style="21" customWidth="1"/>
    <col min="52" max="52" width="11.5" style="25" customWidth="1"/>
    <col min="53" max="53" width="15" style="25" customWidth="1"/>
    <col min="54" max="54" width="9.33203125" style="21" customWidth="1"/>
    <col min="55" max="55" width="8.83203125" style="13" customWidth="1"/>
    <col min="56" max="56" width="10.5" customWidth="1"/>
    <col min="57" max="57" width="9" style="26" customWidth="1"/>
    <col min="58" max="58" width="10.83203125" style="56" customWidth="1"/>
    <col min="59" max="59" width="11.5" customWidth="1"/>
    <col min="60" max="60" width="11.6640625" customWidth="1"/>
    <col min="61" max="61" width="12.5" customWidth="1"/>
    <col min="62" max="62" width="11.33203125" customWidth="1"/>
    <col min="63" max="63" width="9.6640625" style="52" customWidth="1"/>
    <col min="64" max="64" width="6.33203125" style="52" customWidth="1"/>
    <col min="65" max="65" width="10.5" style="52" customWidth="1"/>
    <col min="66" max="66" width="10.83203125" style="52" customWidth="1"/>
    <col min="67" max="67" width="12" style="52" customWidth="1"/>
    <col min="68" max="68" width="10.33203125" style="85" customWidth="1"/>
    <col min="69" max="69" width="15.1640625" customWidth="1"/>
    <col min="70" max="70" width="14.6640625" customWidth="1"/>
    <col min="71" max="71" width="14.33203125" style="52" customWidth="1"/>
    <col min="72" max="72" width="12.83203125" style="52" customWidth="1"/>
    <col min="73" max="73" width="12" style="52" customWidth="1"/>
    <col min="74" max="74" width="11.6640625" style="52" customWidth="1"/>
    <col min="75" max="76" width="13.1640625" style="190" customWidth="1"/>
    <col min="77" max="79" width="13" style="52" customWidth="1"/>
    <col min="80" max="80" width="13" customWidth="1"/>
    <col min="81" max="81" width="12.5" customWidth="1"/>
    <col min="82" max="82" width="10.5" customWidth="1"/>
    <col min="83" max="83" width="11.5" style="52" customWidth="1"/>
    <col min="84" max="84" width="9.83203125" customWidth="1"/>
    <col min="85" max="85" width="10.6640625" customWidth="1"/>
    <col min="86" max="86" width="11.33203125" customWidth="1"/>
    <col min="87" max="88" width="10.5" customWidth="1"/>
    <col min="89" max="89" width="10.33203125" customWidth="1"/>
    <col min="90" max="90" width="10.6640625" customWidth="1"/>
    <col min="91" max="91" width="10.33203125" customWidth="1"/>
    <col min="92" max="92" width="11.1640625" customWidth="1"/>
    <col min="93" max="93" width="11" customWidth="1"/>
    <col min="94" max="94" width="10.33203125" customWidth="1"/>
    <col min="95" max="95" width="9.5" customWidth="1"/>
    <col min="96" max="96" width="11.83203125" customWidth="1"/>
    <col min="97" max="97" width="9.5" customWidth="1"/>
    <col min="98" max="98" width="13.1640625" customWidth="1"/>
    <col min="99" max="99" width="11" customWidth="1"/>
    <col min="100" max="100" width="11.5" customWidth="1"/>
    <col min="101" max="101" width="9.1640625" customWidth="1"/>
    <col min="102" max="102" width="9.5" customWidth="1"/>
    <col min="103" max="103" width="9" customWidth="1"/>
    <col min="104" max="104" width="8.5" style="13" customWidth="1"/>
    <col min="105" max="105" width="9.6640625" customWidth="1"/>
    <col min="106" max="106" width="8.6640625" customWidth="1"/>
    <col min="107" max="107" width="7.33203125" customWidth="1"/>
    <col min="108" max="108" width="7.1640625" style="361" customWidth="1"/>
    <col min="109" max="109" width="25.5" customWidth="1"/>
    <col min="110" max="110" width="54.83203125" customWidth="1"/>
    <col min="111" max="111" width="40.5" customWidth="1"/>
    <col min="112" max="112" width="11.33203125" bestFit="1" customWidth="1"/>
    <col min="113" max="113" width="11.5" bestFit="1" customWidth="1"/>
    <col min="114" max="114" width="27.33203125" bestFit="1" customWidth="1"/>
    <col min="115" max="115" width="14.83203125" bestFit="1" customWidth="1"/>
    <col min="116" max="116" width="5.6640625" bestFit="1" customWidth="1"/>
    <col min="117" max="117" width="6.6640625" style="372" bestFit="1" customWidth="1"/>
    <col min="118" max="118" width="13.5" bestFit="1" customWidth="1"/>
    <col min="119" max="119" width="29.83203125" bestFit="1" customWidth="1"/>
  </cols>
  <sheetData>
    <row r="1" spans="1:119" s="156" customFormat="1" ht="19" thickBot="1">
      <c r="A1" s="521" t="s">
        <v>3238</v>
      </c>
      <c r="B1" s="522"/>
      <c r="C1" s="522"/>
      <c r="D1" s="529" t="s">
        <v>2832</v>
      </c>
      <c r="E1" s="530"/>
      <c r="F1" s="530"/>
      <c r="G1" s="530"/>
      <c r="H1" s="530"/>
      <c r="I1" s="530"/>
      <c r="J1" s="530"/>
      <c r="K1" s="530"/>
      <c r="L1" s="530"/>
      <c r="M1" s="530"/>
      <c r="N1" s="530"/>
      <c r="O1" s="530"/>
      <c r="P1" s="530"/>
      <c r="Q1" s="531"/>
      <c r="R1" s="532" t="s">
        <v>3226</v>
      </c>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c r="AR1" s="534"/>
      <c r="AS1" s="535" t="s">
        <v>3227</v>
      </c>
      <c r="AT1" s="536"/>
      <c r="AU1" s="536"/>
      <c r="AV1" s="536"/>
      <c r="AW1" s="536"/>
      <c r="AX1" s="536"/>
      <c r="AY1" s="536"/>
      <c r="AZ1" s="536"/>
      <c r="BA1" s="536"/>
      <c r="BB1" s="536"/>
      <c r="BC1" s="536"/>
      <c r="BD1" s="536"/>
      <c r="BE1" s="536"/>
      <c r="BF1" s="536"/>
      <c r="BG1" s="537"/>
      <c r="BH1" s="538" t="s">
        <v>3228</v>
      </c>
      <c r="BI1" s="539"/>
      <c r="BJ1" s="539"/>
      <c r="BK1" s="539"/>
      <c r="BL1" s="539"/>
      <c r="BM1" s="539"/>
      <c r="BN1" s="539"/>
      <c r="BO1" s="539"/>
      <c r="BP1" s="539"/>
      <c r="BQ1" s="539"/>
      <c r="BR1" s="539"/>
      <c r="BS1" s="539"/>
      <c r="BT1" s="539"/>
      <c r="BU1" s="539"/>
      <c r="BV1" s="539"/>
      <c r="BW1" s="539"/>
      <c r="BX1" s="539"/>
      <c r="BY1" s="539"/>
      <c r="BZ1" s="539"/>
      <c r="CA1" s="539"/>
      <c r="CB1" s="539"/>
      <c r="CC1" s="539"/>
      <c r="CD1" s="539"/>
      <c r="CE1" s="539"/>
      <c r="CF1" s="539"/>
      <c r="CG1" s="539"/>
      <c r="CH1" s="539"/>
      <c r="CI1" s="539"/>
      <c r="CJ1" s="539"/>
      <c r="CK1" s="539"/>
      <c r="CL1" s="539"/>
      <c r="CM1" s="539"/>
      <c r="CN1" s="539"/>
      <c r="CO1" s="539"/>
      <c r="CP1" s="539"/>
      <c r="CQ1" s="539"/>
      <c r="CR1" s="539"/>
      <c r="CS1" s="539"/>
      <c r="CT1" s="539"/>
      <c r="CU1" s="539"/>
      <c r="CV1" s="539"/>
      <c r="CW1" s="539"/>
      <c r="CX1" s="539"/>
      <c r="CY1" s="539"/>
      <c r="CZ1" s="539"/>
      <c r="DA1" s="539"/>
      <c r="DB1" s="540"/>
      <c r="DC1" s="524" t="s">
        <v>3000</v>
      </c>
      <c r="DD1" s="525"/>
      <c r="DE1" s="523" t="s">
        <v>3001</v>
      </c>
      <c r="DF1" s="523"/>
      <c r="DG1" s="523"/>
      <c r="DH1" s="526" t="s">
        <v>3146</v>
      </c>
      <c r="DI1" s="527"/>
      <c r="DJ1" s="527"/>
      <c r="DK1" s="527"/>
      <c r="DL1" s="527"/>
      <c r="DM1" s="527"/>
      <c r="DN1" s="527"/>
      <c r="DO1" s="528"/>
    </row>
    <row r="2" spans="1:119" s="247" customFormat="1" ht="99" thickBot="1">
      <c r="A2" s="177" t="s">
        <v>1643</v>
      </c>
      <c r="B2" s="88" t="s">
        <v>1644</v>
      </c>
      <c r="C2" s="385" t="s">
        <v>216</v>
      </c>
      <c r="D2" s="390" t="s">
        <v>2926</v>
      </c>
      <c r="E2" s="216" t="s">
        <v>2814</v>
      </c>
      <c r="F2" s="217" t="s">
        <v>1645</v>
      </c>
      <c r="G2" s="179" t="s">
        <v>2817</v>
      </c>
      <c r="H2" s="178" t="s">
        <v>3041</v>
      </c>
      <c r="I2" s="178" t="s">
        <v>2839</v>
      </c>
      <c r="J2" s="180" t="s">
        <v>2949</v>
      </c>
      <c r="K2" s="181" t="s">
        <v>2840</v>
      </c>
      <c r="L2" s="182" t="s">
        <v>2901</v>
      </c>
      <c r="M2" s="183" t="s">
        <v>3036</v>
      </c>
      <c r="N2" s="184" t="s">
        <v>3039</v>
      </c>
      <c r="O2" s="185" t="s">
        <v>3038</v>
      </c>
      <c r="P2" s="186" t="s">
        <v>2900</v>
      </c>
      <c r="Q2" s="187" t="s">
        <v>2902</v>
      </c>
      <c r="R2" s="216" t="s">
        <v>2926</v>
      </c>
      <c r="S2" s="297" t="s">
        <v>3048</v>
      </c>
      <c r="T2" s="294" t="s">
        <v>3047</v>
      </c>
      <c r="U2" s="219" t="s">
        <v>2964</v>
      </c>
      <c r="V2" s="220" t="s">
        <v>2905</v>
      </c>
      <c r="W2" s="221" t="s">
        <v>3034</v>
      </c>
      <c r="X2" s="222" t="s">
        <v>2911</v>
      </c>
      <c r="Y2" s="222" t="s">
        <v>2912</v>
      </c>
      <c r="Z2" s="216" t="s">
        <v>2814</v>
      </c>
      <c r="AA2" s="298" t="s">
        <v>3046</v>
      </c>
      <c r="AB2" s="223" t="s">
        <v>2813</v>
      </c>
      <c r="AC2" s="216" t="s">
        <v>1645</v>
      </c>
      <c r="AD2" s="297" t="s">
        <v>3081</v>
      </c>
      <c r="AE2" s="218" t="s">
        <v>3080</v>
      </c>
      <c r="AF2" s="218" t="s">
        <v>3035</v>
      </c>
      <c r="AG2" s="184" t="s">
        <v>2940</v>
      </c>
      <c r="AH2" s="224" t="s">
        <v>2799</v>
      </c>
      <c r="AI2" s="178" t="s">
        <v>2915</v>
      </c>
      <c r="AJ2" s="180" t="s">
        <v>2861</v>
      </c>
      <c r="AK2" s="178" t="s">
        <v>2856</v>
      </c>
      <c r="AL2" s="178" t="s">
        <v>3004</v>
      </c>
      <c r="AM2" s="178" t="s">
        <v>3003</v>
      </c>
      <c r="AN2" s="218" t="s">
        <v>2851</v>
      </c>
      <c r="AO2" s="218" t="s">
        <v>2797</v>
      </c>
      <c r="AP2" s="185" t="s">
        <v>2951</v>
      </c>
      <c r="AQ2" s="218" t="s">
        <v>2863</v>
      </c>
      <c r="AR2" s="187" t="s">
        <v>2950</v>
      </c>
      <c r="AS2" s="255" t="s">
        <v>2865</v>
      </c>
      <c r="AT2" s="225" t="s">
        <v>2864</v>
      </c>
      <c r="AU2" s="225" t="s">
        <v>2866</v>
      </c>
      <c r="AV2" s="226" t="s">
        <v>2998</v>
      </c>
      <c r="AW2" s="338" t="s">
        <v>3049</v>
      </c>
      <c r="AX2" s="358" t="s">
        <v>3150</v>
      </c>
      <c r="AY2" s="296" t="s">
        <v>2999</v>
      </c>
      <c r="AZ2" s="227" t="s">
        <v>2953</v>
      </c>
      <c r="BA2" s="181" t="s">
        <v>2954</v>
      </c>
      <c r="BB2" s="296" t="s">
        <v>3045</v>
      </c>
      <c r="BC2" s="227" t="s">
        <v>3006</v>
      </c>
      <c r="BD2" s="228" t="s">
        <v>2817</v>
      </c>
      <c r="BE2" s="178" t="s">
        <v>2792</v>
      </c>
      <c r="BF2" s="294" t="s">
        <v>3044</v>
      </c>
      <c r="BG2" s="261" t="s">
        <v>2811</v>
      </c>
      <c r="BH2" s="259" t="s">
        <v>1969</v>
      </c>
      <c r="BI2" s="181" t="s">
        <v>1970</v>
      </c>
      <c r="BJ2" s="227" t="s">
        <v>2903</v>
      </c>
      <c r="BK2" s="181" t="s">
        <v>3037</v>
      </c>
      <c r="BL2" s="369" t="s">
        <v>3219</v>
      </c>
      <c r="BM2" s="178" t="s">
        <v>2798</v>
      </c>
      <c r="BN2" s="180" t="s">
        <v>2860</v>
      </c>
      <c r="BO2" s="180" t="s">
        <v>2862</v>
      </c>
      <c r="BP2" s="219" t="s">
        <v>2939</v>
      </c>
      <c r="BQ2" s="178" t="s">
        <v>2794</v>
      </c>
      <c r="BR2" s="178" t="s">
        <v>2795</v>
      </c>
      <c r="BS2" s="178" t="s">
        <v>3169</v>
      </c>
      <c r="BT2" s="229" t="s">
        <v>2847</v>
      </c>
      <c r="BU2" s="188" t="s">
        <v>3025</v>
      </c>
      <c r="BV2" s="230" t="s">
        <v>2809</v>
      </c>
      <c r="BW2" s="231" t="s">
        <v>2876</v>
      </c>
      <c r="BX2" s="229" t="s">
        <v>3202</v>
      </c>
      <c r="BY2" s="180" t="s">
        <v>3100</v>
      </c>
      <c r="BZ2" s="463" t="s">
        <v>3207</v>
      </c>
      <c r="CA2" s="188" t="s">
        <v>3206</v>
      </c>
      <c r="CB2" s="232" t="s">
        <v>2793</v>
      </c>
      <c r="CC2" s="230" t="s">
        <v>2849</v>
      </c>
      <c r="CD2" s="230" t="s">
        <v>2848</v>
      </c>
      <c r="CE2" s="295" t="s">
        <v>3043</v>
      </c>
      <c r="CF2" s="184" t="s">
        <v>2830</v>
      </c>
      <c r="CG2" s="184" t="s">
        <v>2843</v>
      </c>
      <c r="CH2" s="178" t="s">
        <v>2850</v>
      </c>
      <c r="CI2" s="178" t="s">
        <v>2845</v>
      </c>
      <c r="CJ2" s="233" t="s">
        <v>2846</v>
      </c>
      <c r="CK2" s="234" t="s">
        <v>2938</v>
      </c>
      <c r="CL2" s="234" t="s">
        <v>2937</v>
      </c>
      <c r="CM2" s="218" t="s">
        <v>2936</v>
      </c>
      <c r="CN2" s="218" t="s">
        <v>3021</v>
      </c>
      <c r="CO2" s="227" t="s">
        <v>3023</v>
      </c>
      <c r="CP2" s="218" t="s">
        <v>3101</v>
      </c>
      <c r="CQ2" s="334" t="s">
        <v>3070</v>
      </c>
      <c r="CR2" s="178" t="s">
        <v>2867</v>
      </c>
      <c r="CS2" s="178" t="s">
        <v>2868</v>
      </c>
      <c r="CT2" s="178" t="s">
        <v>2869</v>
      </c>
      <c r="CU2" s="294" t="s">
        <v>3042</v>
      </c>
      <c r="CV2" s="178" t="s">
        <v>2870</v>
      </c>
      <c r="CW2" s="178" t="s">
        <v>2871</v>
      </c>
      <c r="CX2" s="178" t="s">
        <v>2872</v>
      </c>
      <c r="CY2" s="178" t="s">
        <v>2833</v>
      </c>
      <c r="CZ2" s="178" t="s">
        <v>2834</v>
      </c>
      <c r="DA2" s="178" t="s">
        <v>2835</v>
      </c>
      <c r="DB2" s="212" t="s">
        <v>2922</v>
      </c>
      <c r="DC2" s="235" t="s">
        <v>3097</v>
      </c>
      <c r="DD2" s="408" t="s">
        <v>2976</v>
      </c>
      <c r="DE2" s="236" t="s">
        <v>3074</v>
      </c>
      <c r="DF2" s="236" t="s">
        <v>3084</v>
      </c>
      <c r="DG2" s="237" t="s">
        <v>3002</v>
      </c>
      <c r="DH2" s="381" t="s">
        <v>3103</v>
      </c>
      <c r="DI2" s="382" t="s">
        <v>3107</v>
      </c>
      <c r="DJ2" s="382" t="s">
        <v>3106</v>
      </c>
      <c r="DK2" s="382" t="s">
        <v>2979</v>
      </c>
      <c r="DL2" s="382" t="s">
        <v>3109</v>
      </c>
      <c r="DM2" s="383" t="s">
        <v>8</v>
      </c>
      <c r="DN2" s="382" t="s">
        <v>3105</v>
      </c>
      <c r="DO2" s="384" t="s">
        <v>3104</v>
      </c>
    </row>
    <row r="3" spans="1:119" s="164" customFormat="1" ht="42">
      <c r="A3" s="161" t="s">
        <v>1973</v>
      </c>
      <c r="B3" s="111" t="s">
        <v>3240</v>
      </c>
      <c r="C3" s="111" t="s">
        <v>276</v>
      </c>
      <c r="D3" s="391">
        <v>2003</v>
      </c>
      <c r="E3" s="112">
        <v>2006</v>
      </c>
      <c r="F3" s="112">
        <v>2010</v>
      </c>
      <c r="G3" s="112">
        <v>2012</v>
      </c>
      <c r="H3" s="111" t="s">
        <v>15</v>
      </c>
      <c r="I3" s="69">
        <v>1474</v>
      </c>
      <c r="J3" s="81">
        <v>808</v>
      </c>
      <c r="K3" s="68">
        <f t="shared" ref="K3:K25" si="0">J3/I3</f>
        <v>0.54816824966078692</v>
      </c>
      <c r="L3" s="167">
        <f>IF(K3&gt;80%,5,IF(K3&gt;60%,3,IF(K3&gt;39%,2,IF(K3&gt;20%,1,0))))</f>
        <v>2</v>
      </c>
      <c r="M3" s="83">
        <v>33472</v>
      </c>
      <c r="N3" s="123">
        <f>M3/Benchmark!$C$5</f>
        <v>0.89881847475832444</v>
      </c>
      <c r="O3" s="155">
        <f t="shared" ref="O3:O9" si="1">IF(N3&gt;86%,5,IF(N3&gt;75%,4,IF(N3&gt;70%,3,IF(N3&gt;60%,2,IF(N3&gt;50%,1,0)))))</f>
        <v>5</v>
      </c>
      <c r="P3" s="68">
        <v>0.42099999999999999</v>
      </c>
      <c r="Q3" s="252">
        <f t="shared" ref="Q3:Q11" si="2">IF(P3&gt;67%,1,IF(P3&gt;56%, 2, IF(P3&gt;46%, 3, IF(P3&gt;36%, 4,0))))</f>
        <v>4</v>
      </c>
      <c r="R3" s="130">
        <f t="shared" ref="R3:R25" si="3">D3</f>
        <v>2003</v>
      </c>
      <c r="S3" s="71">
        <v>0</v>
      </c>
      <c r="T3" s="71" t="s">
        <v>1972</v>
      </c>
      <c r="U3" s="74">
        <v>0.6</v>
      </c>
      <c r="V3" s="167">
        <f>IF(T3="Low",5,IF(T3="Low/Mod",4,IF(T3="Moderate",2, IF(T3="Mod/High",1,IF(T3="High",0,0)))))</f>
        <v>4</v>
      </c>
      <c r="W3" s="74" t="s">
        <v>2904</v>
      </c>
      <c r="X3" s="101">
        <v>816</v>
      </c>
      <c r="Y3" s="112" t="s">
        <v>2910</v>
      </c>
      <c r="Z3" s="130">
        <f t="shared" ref="Z3:Z25" si="4">E3</f>
        <v>2006</v>
      </c>
      <c r="AA3" s="74" t="s">
        <v>1640</v>
      </c>
      <c r="AB3" s="74" t="s">
        <v>1640</v>
      </c>
      <c r="AC3" s="112">
        <f t="shared" ref="AC3:AC25" si="5">F3</f>
        <v>2010</v>
      </c>
      <c r="AD3" s="71">
        <v>0</v>
      </c>
      <c r="AE3" s="71">
        <v>0</v>
      </c>
      <c r="AF3" s="71">
        <v>1</v>
      </c>
      <c r="AG3" s="101">
        <v>350000</v>
      </c>
      <c r="AH3" s="71">
        <v>4</v>
      </c>
      <c r="AI3" s="69">
        <v>33250</v>
      </c>
      <c r="AJ3" s="111">
        <v>365</v>
      </c>
      <c r="AK3" s="69">
        <v>15583</v>
      </c>
      <c r="AL3" s="69">
        <v>1541</v>
      </c>
      <c r="AM3" s="69">
        <v>1340</v>
      </c>
      <c r="AN3" s="74">
        <f>AM3/(AK3-AL3)</f>
        <v>9.5428001709158244E-2</v>
      </c>
      <c r="AO3" s="74">
        <v>0.18</v>
      </c>
      <c r="AP3" s="167">
        <f>IF(AN3&lt;12%,5,IF(AN3&lt;18%,4,IF(AN3&lt;23%,2,IF(AN3&gt;22%,0))))</f>
        <v>5</v>
      </c>
      <c r="AQ3" s="165" t="s">
        <v>1639</v>
      </c>
      <c r="AR3" s="257">
        <f>IF(AQ3= "No", 5,IF(AQ3="Yes",1,0))</f>
        <v>5</v>
      </c>
      <c r="AS3" s="72">
        <v>350000</v>
      </c>
      <c r="AT3" s="72">
        <v>75000</v>
      </c>
      <c r="AU3" s="72">
        <v>350000</v>
      </c>
      <c r="AV3" s="73">
        <f t="shared" ref="AV3:AV5" si="6">AS3/AT3</f>
        <v>4.666666666666667</v>
      </c>
      <c r="AW3" s="112">
        <f t="shared" ref="AW3:AW25" si="7">AT3/J3</f>
        <v>92.821782178217816</v>
      </c>
      <c r="AX3" s="101">
        <f t="shared" ref="AX3:AX9" si="8">(AS3-AT3)/AW3</f>
        <v>2962.666666666667</v>
      </c>
      <c r="AY3" s="112" t="str">
        <f t="shared" ref="AY3:AY25" si="9">IF(AV3&gt;4,"Oversized",IF(AV3&gt;3,"Large Sized",IF(AV3&gt;2,"Fullsized",IF(AV3&gt;1,"Undersized",0))))</f>
        <v>Oversized</v>
      </c>
      <c r="AZ3" s="167">
        <f>IF(AY3="Undersized",0,IF(AY3="Fullsized",2,IF(AY3="Large Sized",4,IF(AY3="Oversized",5,0))))</f>
        <v>5</v>
      </c>
      <c r="BA3" s="101">
        <f t="shared" ref="BA3:BA25" si="10">X3*1440-AS3</f>
        <v>825040</v>
      </c>
      <c r="BB3" s="414">
        <f t="shared" ref="BB3:BB25" si="11">BA3/AS3</f>
        <v>2.3572571428571427</v>
      </c>
      <c r="BC3" s="167">
        <f>IF(BB3&gt;500,5, IF(BB3&gt;301,4,IF(BB3&gt;2,3,IF(BB3&gt;0.99,2,IF(BB3&gt;0.5,1,0)))))</f>
        <v>3</v>
      </c>
      <c r="BD3" s="112">
        <f t="shared" ref="BD3:BD25" si="12">G3</f>
        <v>2012</v>
      </c>
      <c r="BE3" s="81">
        <v>1949</v>
      </c>
      <c r="BF3" s="71" t="s">
        <v>1659</v>
      </c>
      <c r="BG3" s="262">
        <v>4</v>
      </c>
      <c r="BH3" s="79">
        <f>57.65*4</f>
        <v>230.6</v>
      </c>
      <c r="BI3" s="152">
        <v>1997</v>
      </c>
      <c r="BJ3" s="167">
        <f>IF(BI3&gt;2009,5,IF(BI3&gt;2008,3,IF(BI3&gt;2004,1,0)))</f>
        <v>0</v>
      </c>
      <c r="BK3" s="68">
        <f t="shared" ref="BK3:BK25" si="13">BH3/M3</f>
        <v>6.8893403441682597E-3</v>
      </c>
      <c r="BL3" s="167">
        <f>IF(BK3&gt;1.4%,5,IF(BK3&gt;0.91%,2,IF(BK3&gt;0.66%,1,0)))</f>
        <v>1</v>
      </c>
      <c r="BM3" s="81">
        <f t="shared" ref="BM3:BM25" si="14">J3</f>
        <v>808</v>
      </c>
      <c r="BN3" s="71">
        <v>308</v>
      </c>
      <c r="BO3" s="111">
        <v>13</v>
      </c>
      <c r="BP3" s="74">
        <f t="shared" ref="BP3:BP11" si="15">BN3/(BN3+BO3)</f>
        <v>0.95950155763239875</v>
      </c>
      <c r="BQ3" s="83">
        <v>2019247</v>
      </c>
      <c r="BR3" s="83">
        <v>40283</v>
      </c>
      <c r="BS3" s="83">
        <v>955689</v>
      </c>
      <c r="BT3" s="153">
        <f>BS3/BQ3</f>
        <v>0.47328979565154733</v>
      </c>
      <c r="BU3" s="167">
        <f>IF(BT3&lt;21%,5,IF(BT3&lt;31%,4,IF(BT3&lt;41%,3,IF(BT3&lt;51%,2,0))))</f>
        <v>2</v>
      </c>
      <c r="BV3" s="83">
        <v>602787</v>
      </c>
      <c r="BW3" s="173">
        <v>52581</v>
      </c>
      <c r="BX3" s="173">
        <f>BV3/(BN3+BO3)</f>
        <v>1877.8411214953271</v>
      </c>
      <c r="BY3" s="173">
        <f>BW3/(BN3+BO3)</f>
        <v>163.80373831775702</v>
      </c>
      <c r="BZ3" s="464">
        <f>BX3/(BN3+BO3)</f>
        <v>5.8499723411069384</v>
      </c>
      <c r="CA3" s="167">
        <f>IF(BZ3&lt;1,5,IF(BZ3&lt;2,4,IF(BZ3&lt;5,3,IF(BZ3&lt;10,2,IF(BZ3&lt;10,1,0)))))</f>
        <v>2</v>
      </c>
      <c r="CB3" s="173">
        <v>48114</v>
      </c>
      <c r="CC3" s="83">
        <v>136087</v>
      </c>
      <c r="CD3" s="83">
        <v>107199</v>
      </c>
      <c r="CE3" s="83">
        <v>147482</v>
      </c>
      <c r="CF3" s="163">
        <v>-444</v>
      </c>
      <c r="CG3" s="83">
        <v>82714</v>
      </c>
      <c r="CH3" s="83">
        <v>136087</v>
      </c>
      <c r="CI3" s="83">
        <f t="shared" ref="CI3:CI11" si="16">CH3-CG3</f>
        <v>53373</v>
      </c>
      <c r="CJ3" s="153">
        <f>CI3/CG3</f>
        <v>0.64527165896946104</v>
      </c>
      <c r="CK3" s="84">
        <f>CC3/CD3</f>
        <v>1.2694801257474417</v>
      </c>
      <c r="CL3" s="84">
        <f>CD3/CE3</f>
        <v>0.72686158310844717</v>
      </c>
      <c r="CM3" s="84">
        <f t="shared" ref="CM3:CM25" si="17">CH3/CC3</f>
        <v>1</v>
      </c>
      <c r="CN3" s="170">
        <f t="shared" ref="CN3:CN25" si="18">$CE3/$BM3</f>
        <v>182.52722772277227</v>
      </c>
      <c r="CO3" s="167">
        <f t="shared" ref="CO3:CO25" si="19">IF(CN3&lt;100,5,IF(CN3&lt;164,4,IF(CN3&lt;265,3,IF(CN3&lt;300,2,0))))</f>
        <v>3</v>
      </c>
      <c r="CP3" s="84">
        <f t="shared" ref="CP3:CP5" si="20">(CK3+CM3)-CL3</f>
        <v>1.5426185426389942</v>
      </c>
      <c r="CQ3" s="167">
        <f t="shared" ref="CQ3:CQ5" si="21">IF(CP3&gt;2,3,IF(CP3&gt;1,2,0))</f>
        <v>2</v>
      </c>
      <c r="CR3" s="173">
        <v>0</v>
      </c>
      <c r="CS3" s="83">
        <v>239586</v>
      </c>
      <c r="CT3" s="83">
        <v>19827</v>
      </c>
      <c r="CU3" s="76">
        <f>60521/82714</f>
        <v>0.73168991948158713</v>
      </c>
      <c r="CV3" s="76">
        <f>13167/82714</f>
        <v>0.15918707836641924</v>
      </c>
      <c r="CW3" s="76">
        <v>0</v>
      </c>
      <c r="CX3" s="76">
        <f>9026/82714</f>
        <v>0.10912300215199362</v>
      </c>
      <c r="CY3" s="81">
        <v>1999</v>
      </c>
      <c r="CZ3" s="81">
        <v>1999</v>
      </c>
      <c r="DA3" s="81">
        <v>2006</v>
      </c>
      <c r="DB3" s="213">
        <f>IF(DA3&gt;2006,5,IF(DA3&gt;2000,3,IF(DA3&gt;1995,1,0)))</f>
        <v>3</v>
      </c>
      <c r="DC3" s="215">
        <f t="shared" ref="DC3:DC25" si="22">SUMIF(A$2:DB$2, "*Grade*", A3:DB3)</f>
        <v>46</v>
      </c>
      <c r="DD3" s="409" t="str">
        <f>IF(DC3&gt;50,"A",IF(DC3&gt;42,"B",IF(DC3&gt;36,"C",IF(DC3&gt;32,"D","F"))))</f>
        <v>B</v>
      </c>
      <c r="DE3" s="171" t="s">
        <v>3073</v>
      </c>
      <c r="DF3" s="238" t="s">
        <v>2796</v>
      </c>
      <c r="DG3" s="239" t="s">
        <v>2956</v>
      </c>
      <c r="DH3" s="99" t="s">
        <v>128</v>
      </c>
      <c r="DI3" s="100" t="s">
        <v>3108</v>
      </c>
      <c r="DJ3" s="100" t="s">
        <v>14</v>
      </c>
      <c r="DK3" s="100" t="s">
        <v>15</v>
      </c>
      <c r="DL3" s="100" t="s">
        <v>235</v>
      </c>
      <c r="DM3" s="374">
        <v>4732</v>
      </c>
      <c r="DN3" s="100" t="s">
        <v>279</v>
      </c>
      <c r="DO3" s="375" t="s">
        <v>280</v>
      </c>
    </row>
    <row r="4" spans="1:119" s="164" customFormat="1" ht="72" customHeight="1">
      <c r="A4" s="161" t="s">
        <v>1973</v>
      </c>
      <c r="B4" s="111" t="s">
        <v>18</v>
      </c>
      <c r="C4" s="111" t="s">
        <v>362</v>
      </c>
      <c r="D4" s="391">
        <v>2003</v>
      </c>
      <c r="E4" s="112">
        <v>2011</v>
      </c>
      <c r="F4" s="112">
        <v>2012</v>
      </c>
      <c r="G4" s="112">
        <v>2012</v>
      </c>
      <c r="H4" s="111" t="s">
        <v>23</v>
      </c>
      <c r="I4" s="111">
        <v>8312</v>
      </c>
      <c r="J4" s="81">
        <v>5000</v>
      </c>
      <c r="K4" s="68">
        <f t="shared" si="0"/>
        <v>0.60153994225216556</v>
      </c>
      <c r="L4" s="167">
        <f t="shared" ref="L4:L25" si="23">IF(K4&gt;80%,5,IF(K4&gt;60%,3,IF(K4&gt;39%,2,IF(K4&gt;20%,1,0))))</f>
        <v>3</v>
      </c>
      <c r="M4" s="83">
        <v>29485</v>
      </c>
      <c r="N4" s="123">
        <f>M4/Benchmark!$C$5</f>
        <v>0.79175617615467242</v>
      </c>
      <c r="O4" s="167">
        <f t="shared" si="1"/>
        <v>4</v>
      </c>
      <c r="P4" s="68">
        <v>0.44600000000000001</v>
      </c>
      <c r="Q4" s="167">
        <f t="shared" si="2"/>
        <v>4</v>
      </c>
      <c r="R4" s="130">
        <f t="shared" si="3"/>
        <v>2003</v>
      </c>
      <c r="S4" s="71">
        <v>0</v>
      </c>
      <c r="T4" s="71" t="s">
        <v>1972</v>
      </c>
      <c r="U4" s="74">
        <v>0.01</v>
      </c>
      <c r="V4" s="167">
        <f t="shared" ref="V4:V25" si="24">IF(T4="Low",5,IF(T4="Low/Mod",4,IF(T4="Moderate",2, IF(T4="Mod/High",1,IF(T4="High",0,0)))))</f>
        <v>4</v>
      </c>
      <c r="W4" s="74" t="s">
        <v>2904</v>
      </c>
      <c r="X4" s="101">
        <f>1500*2</f>
        <v>3000</v>
      </c>
      <c r="Y4" s="112" t="s">
        <v>2910</v>
      </c>
      <c r="Z4" s="130">
        <f t="shared" si="4"/>
        <v>2011</v>
      </c>
      <c r="AA4" s="74" t="s">
        <v>1640</v>
      </c>
      <c r="AB4" s="74" t="s">
        <v>1640</v>
      </c>
      <c r="AC4" s="112">
        <f t="shared" si="5"/>
        <v>2012</v>
      </c>
      <c r="AD4" s="71">
        <v>0</v>
      </c>
      <c r="AE4" s="71">
        <v>0</v>
      </c>
      <c r="AF4" s="71">
        <v>1</v>
      </c>
      <c r="AG4" s="101">
        <v>1511000</v>
      </c>
      <c r="AH4" s="72">
        <v>3</v>
      </c>
      <c r="AI4" s="69">
        <v>171251</v>
      </c>
      <c r="AJ4" s="69">
        <v>160</v>
      </c>
      <c r="AK4" s="69">
        <v>171083</v>
      </c>
      <c r="AL4" s="69">
        <v>28225</v>
      </c>
      <c r="AM4" s="69">
        <v>28707</v>
      </c>
      <c r="AN4" s="74">
        <f>AM4/(AK4-AL4)</f>
        <v>0.20094779431323412</v>
      </c>
      <c r="AO4" s="74">
        <v>0.1</v>
      </c>
      <c r="AP4" s="167">
        <f t="shared" ref="AP4:AP25" si="25">IF(AN4&lt;12%,5,IF(AN4&lt;18%,4,IF(AN4&lt;23%,2,IF(AN4&gt;22%,0))))</f>
        <v>2</v>
      </c>
      <c r="AQ4" s="165" t="s">
        <v>1639</v>
      </c>
      <c r="AR4" s="167">
        <f>IF(AQ4= "No", 5,IF(AQ4="Yes",1,0))</f>
        <v>5</v>
      </c>
      <c r="AS4" s="72">
        <v>2160000</v>
      </c>
      <c r="AT4" s="72">
        <v>400000</v>
      </c>
      <c r="AU4" s="72">
        <v>800000</v>
      </c>
      <c r="AV4" s="73">
        <f t="shared" si="6"/>
        <v>5.4</v>
      </c>
      <c r="AW4" s="112">
        <f t="shared" si="7"/>
        <v>80</v>
      </c>
      <c r="AX4" s="101">
        <f t="shared" si="8"/>
        <v>22000</v>
      </c>
      <c r="AY4" s="112" t="str">
        <f t="shared" si="9"/>
        <v>Oversized</v>
      </c>
      <c r="AZ4" s="167">
        <f t="shared" ref="AZ4:AZ25" si="26">IF(AY4="Undersized",0,IF(AY4="Fullsized",2,IF(AY4="Large Sized",4,IF(AY4="Oversized",5,0))))</f>
        <v>5</v>
      </c>
      <c r="BA4" s="101">
        <f t="shared" si="10"/>
        <v>2160000</v>
      </c>
      <c r="BB4" s="414">
        <f t="shared" si="11"/>
        <v>1</v>
      </c>
      <c r="BC4" s="167">
        <f t="shared" ref="BC4:BC25" si="27">IF(BB4&gt;500,5, IF(BB4&gt;301,4,IF(BB4&gt;2,3,IF(BB4&gt;0.99,2,IF(BB4&gt;0.5,1,0)))))</f>
        <v>2</v>
      </c>
      <c r="BD4" s="112">
        <f t="shared" si="12"/>
        <v>2012</v>
      </c>
      <c r="BE4" s="111">
        <v>1887</v>
      </c>
      <c r="BF4" s="71">
        <v>6</v>
      </c>
      <c r="BG4" s="262">
        <v>5</v>
      </c>
      <c r="BH4" s="78">
        <f>62.1*4</f>
        <v>248.4</v>
      </c>
      <c r="BI4" s="152">
        <v>2010</v>
      </c>
      <c r="BJ4" s="167">
        <f t="shared" ref="BJ4:BJ25" si="28">IF(BI4&gt;2009,5,IF(BI4&gt;2008,3,IF(BI4&gt;2004,1,0)))</f>
        <v>5</v>
      </c>
      <c r="BK4" s="68">
        <f t="shared" si="13"/>
        <v>8.4246226895031365E-3</v>
      </c>
      <c r="BL4" s="167">
        <f t="shared" ref="BL4:BL25" si="29">IF(BK4&gt;1.4%,5,IF(BK4&gt;0.91%,2,IF(BK4&gt;0.66%,1,0)))</f>
        <v>1</v>
      </c>
      <c r="BM4" s="81">
        <f t="shared" si="14"/>
        <v>5000</v>
      </c>
      <c r="BN4" s="71">
        <v>1762</v>
      </c>
      <c r="BO4" s="69">
        <v>43</v>
      </c>
      <c r="BP4" s="74">
        <f t="shared" si="15"/>
        <v>0.97617728531855952</v>
      </c>
      <c r="BQ4" s="83">
        <v>8975124</v>
      </c>
      <c r="BR4" s="83">
        <v>261874.88</v>
      </c>
      <c r="BS4" s="83">
        <v>3813613</v>
      </c>
      <c r="BT4" s="153">
        <f>BS4/BQ4</f>
        <v>0.42490922688087651</v>
      </c>
      <c r="BU4" s="167">
        <f t="shared" ref="BU4:BU25" si="30">IF(BT4&lt;21%,5,IF(BT4&lt;31%,4,IF(BT4&lt;41%,3,IF(BT4&lt;51%,2,0))))</f>
        <v>2</v>
      </c>
      <c r="BV4" s="83">
        <v>3746830</v>
      </c>
      <c r="BW4" s="174">
        <v>-175004</v>
      </c>
      <c r="BX4" s="173">
        <f t="shared" ref="BX4:BX25" si="31">BV4/(BN4+BO4)</f>
        <v>2075.8060941828253</v>
      </c>
      <c r="BY4" s="173">
        <f t="shared" ref="BY4:BY25" si="32">BW4/(BN4+BO4)</f>
        <v>-96.955124653739617</v>
      </c>
      <c r="BZ4" s="464">
        <f t="shared" ref="BZ4:BZ25" si="33">BX4/(BN4+BO4)</f>
        <v>1.1500310771095985</v>
      </c>
      <c r="CA4" s="167">
        <f t="shared" ref="CA4:CA25" si="34">IF(BZ4&lt;1,5,IF(BZ4&lt;2,4,IF(BZ4&lt;5,3,IF(BZ4&lt;10,2,IF(BZ4&lt;10,1,0)))))</f>
        <v>4</v>
      </c>
      <c r="CB4" s="173">
        <v>922242</v>
      </c>
      <c r="CC4" s="83">
        <v>1008265</v>
      </c>
      <c r="CD4" s="83">
        <v>580694</v>
      </c>
      <c r="CE4" s="83">
        <v>873536.88</v>
      </c>
      <c r="CF4" s="83">
        <v>21833</v>
      </c>
      <c r="CG4" s="83">
        <v>653395</v>
      </c>
      <c r="CH4" s="83">
        <v>981844</v>
      </c>
      <c r="CI4" s="83">
        <f t="shared" si="16"/>
        <v>328449</v>
      </c>
      <c r="CJ4" s="153">
        <f>CI4/CG4</f>
        <v>0.50268061432976985</v>
      </c>
      <c r="CK4" s="84">
        <f t="shared" ref="CK4:CK11" si="35">CC4/CD4</f>
        <v>1.7363103458964617</v>
      </c>
      <c r="CL4" s="84">
        <f t="shared" ref="CL4:CL11" si="36">CD4/CE4</f>
        <v>0.66476185870938842</v>
      </c>
      <c r="CM4" s="84">
        <f t="shared" si="17"/>
        <v>0.97379557953514206</v>
      </c>
      <c r="CN4" s="170">
        <f t="shared" si="18"/>
        <v>174.70737600000001</v>
      </c>
      <c r="CO4" s="167">
        <f t="shared" si="19"/>
        <v>3</v>
      </c>
      <c r="CP4" s="84">
        <f t="shared" si="20"/>
        <v>2.0453440667222154</v>
      </c>
      <c r="CQ4" s="167">
        <f t="shared" si="21"/>
        <v>3</v>
      </c>
      <c r="CR4" s="173">
        <v>922242</v>
      </c>
      <c r="CS4" s="83">
        <v>0</v>
      </c>
      <c r="CT4" s="83">
        <v>181707</v>
      </c>
      <c r="CU4" s="76">
        <v>0.71622219331338621</v>
      </c>
      <c r="CV4" s="76">
        <v>0.17786025298632527</v>
      </c>
      <c r="CW4" s="76">
        <v>2.4697158686552544E-2</v>
      </c>
      <c r="CX4" s="76">
        <v>8.1220395013735944E-2</v>
      </c>
      <c r="CY4" s="111">
        <v>2007</v>
      </c>
      <c r="CZ4" s="111">
        <v>2012</v>
      </c>
      <c r="DA4" s="111"/>
      <c r="DB4" s="213">
        <f t="shared" ref="DB4:DB25" si="37">IF(CZ4&gt;2006,5,IF(CZ4&gt;2000,3,IF(CZ4&gt;1995,1,0)))</f>
        <v>5</v>
      </c>
      <c r="DC4" s="215">
        <f t="shared" si="22"/>
        <v>52</v>
      </c>
      <c r="DD4" s="409" t="str">
        <f t="shared" ref="DD4:DD25" si="38">IF(DC4&gt;50,"A",IF(DC4&gt;42,"B",IF(DC4&gt;36,"C",IF(DC4&gt;32,"D","F"))))</f>
        <v>A</v>
      </c>
      <c r="DE4" s="511" t="s">
        <v>3235</v>
      </c>
      <c r="DF4" s="508" t="s">
        <v>1662</v>
      </c>
      <c r="DG4" s="243" t="s">
        <v>3089</v>
      </c>
      <c r="DH4" s="99" t="s">
        <v>3144</v>
      </c>
      <c r="DI4" s="100" t="s">
        <v>3145</v>
      </c>
      <c r="DJ4" s="100" t="s">
        <v>22</v>
      </c>
      <c r="DK4" s="100" t="s">
        <v>23</v>
      </c>
      <c r="DL4" s="100" t="s">
        <v>235</v>
      </c>
      <c r="DM4" s="374">
        <v>4736</v>
      </c>
      <c r="DN4" s="100" t="s">
        <v>364</v>
      </c>
      <c r="DO4" s="375" t="s">
        <v>365</v>
      </c>
    </row>
    <row r="5" spans="1:119" s="164" customFormat="1">
      <c r="A5" s="161" t="s">
        <v>1973</v>
      </c>
      <c r="B5" s="111" t="s">
        <v>435</v>
      </c>
      <c r="C5" s="111" t="s">
        <v>434</v>
      </c>
      <c r="D5" s="391">
        <v>2004</v>
      </c>
      <c r="E5" s="112">
        <v>2005</v>
      </c>
      <c r="F5" s="112">
        <v>2012</v>
      </c>
      <c r="G5" s="112">
        <v>2012</v>
      </c>
      <c r="H5" s="111" t="s">
        <v>31</v>
      </c>
      <c r="I5" s="111">
        <v>815</v>
      </c>
      <c r="J5" s="81">
        <v>678</v>
      </c>
      <c r="K5" s="68">
        <f t="shared" si="0"/>
        <v>0.83190184049079752</v>
      </c>
      <c r="L5" s="167">
        <f t="shared" si="23"/>
        <v>5</v>
      </c>
      <c r="M5" s="83">
        <v>22159</v>
      </c>
      <c r="N5" s="123">
        <f>M5/Benchmark!$C$5</f>
        <v>0.59503222341568207</v>
      </c>
      <c r="O5" s="155">
        <f t="shared" si="1"/>
        <v>1</v>
      </c>
      <c r="P5" s="68">
        <v>0.53</v>
      </c>
      <c r="Q5" s="253">
        <f t="shared" si="2"/>
        <v>3</v>
      </c>
      <c r="R5" s="130">
        <f t="shared" si="3"/>
        <v>2004</v>
      </c>
      <c r="S5" s="71">
        <v>0</v>
      </c>
      <c r="T5" s="71" t="s">
        <v>1972</v>
      </c>
      <c r="U5" s="74">
        <v>0.7</v>
      </c>
      <c r="V5" s="167">
        <f t="shared" si="24"/>
        <v>4</v>
      </c>
      <c r="W5" s="74" t="s">
        <v>2904</v>
      </c>
      <c r="X5" s="101">
        <v>500</v>
      </c>
      <c r="Y5" s="112" t="s">
        <v>2801</v>
      </c>
      <c r="Z5" s="130">
        <f t="shared" si="4"/>
        <v>2005</v>
      </c>
      <c r="AA5" s="74" t="s">
        <v>1640</v>
      </c>
      <c r="AB5" s="74" t="s">
        <v>1640</v>
      </c>
      <c r="AC5" s="112">
        <f t="shared" si="5"/>
        <v>2012</v>
      </c>
      <c r="AD5" s="71">
        <v>1</v>
      </c>
      <c r="AE5" s="71">
        <v>0</v>
      </c>
      <c r="AF5" s="71">
        <v>1</v>
      </c>
      <c r="AG5" s="101">
        <f>150000+250000</f>
        <v>400000</v>
      </c>
      <c r="AH5" s="71">
        <v>4.5</v>
      </c>
      <c r="AI5" s="69">
        <v>36848</v>
      </c>
      <c r="AJ5" s="111">
        <v>35</v>
      </c>
      <c r="AK5" s="69">
        <v>34069</v>
      </c>
      <c r="AL5" s="69">
        <v>7870</v>
      </c>
      <c r="AM5" s="69">
        <v>3021</v>
      </c>
      <c r="AN5" s="74">
        <f>AM5/(AK5-AL5)</f>
        <v>0.11530974464674225</v>
      </c>
      <c r="AO5" s="74">
        <v>0.5</v>
      </c>
      <c r="AP5" s="167">
        <f t="shared" si="25"/>
        <v>5</v>
      </c>
      <c r="AQ5" s="165" t="s">
        <v>1639</v>
      </c>
      <c r="AR5" s="253">
        <f t="shared" ref="AR5:AR11" si="39">IF(AQ5= "No", 5,IF(AQ5="Yes",1,0))</f>
        <v>5</v>
      </c>
      <c r="AS5" s="72">
        <v>300000</v>
      </c>
      <c r="AT5" s="72">
        <v>93000</v>
      </c>
      <c r="AU5" s="72">
        <v>115000</v>
      </c>
      <c r="AV5" s="73">
        <f t="shared" si="6"/>
        <v>3.225806451612903</v>
      </c>
      <c r="AW5" s="112">
        <f t="shared" si="7"/>
        <v>137.16814159292036</v>
      </c>
      <c r="AX5" s="101">
        <f t="shared" si="8"/>
        <v>1509.0967741935483</v>
      </c>
      <c r="AY5" s="112" t="str">
        <f t="shared" si="9"/>
        <v>Large Sized</v>
      </c>
      <c r="AZ5" s="167">
        <f t="shared" si="26"/>
        <v>4</v>
      </c>
      <c r="BA5" s="101">
        <f t="shared" si="10"/>
        <v>420000</v>
      </c>
      <c r="BB5" s="414">
        <f t="shared" si="11"/>
        <v>1.4</v>
      </c>
      <c r="BC5" s="167">
        <f t="shared" si="27"/>
        <v>2</v>
      </c>
      <c r="BD5" s="112">
        <f t="shared" si="12"/>
        <v>2012</v>
      </c>
      <c r="BE5" s="111">
        <v>1968</v>
      </c>
      <c r="BF5" s="71">
        <v>1</v>
      </c>
      <c r="BG5" s="214">
        <v>3</v>
      </c>
      <c r="BH5" s="78">
        <f>52.39*4</f>
        <v>209.56</v>
      </c>
      <c r="BI5" s="152">
        <v>2009</v>
      </c>
      <c r="BJ5" s="167">
        <f t="shared" si="28"/>
        <v>3</v>
      </c>
      <c r="BK5" s="68">
        <f t="shared" si="13"/>
        <v>9.4571054650480612E-3</v>
      </c>
      <c r="BL5" s="167">
        <f t="shared" si="29"/>
        <v>2</v>
      </c>
      <c r="BM5" s="81">
        <f t="shared" si="14"/>
        <v>678</v>
      </c>
      <c r="BN5" s="71">
        <v>242</v>
      </c>
      <c r="BO5" s="111">
        <v>0</v>
      </c>
      <c r="BP5" s="74">
        <f t="shared" si="15"/>
        <v>1</v>
      </c>
      <c r="BQ5" s="82">
        <v>4251962</v>
      </c>
      <c r="BR5" s="82">
        <v>51887</v>
      </c>
      <c r="BS5" s="83">
        <v>1096019</v>
      </c>
      <c r="BT5" s="153">
        <f t="shared" ref="BT5:BT11" si="40">BS5/BQ5</f>
        <v>0.25776782577078533</v>
      </c>
      <c r="BU5" s="167">
        <f t="shared" si="30"/>
        <v>4</v>
      </c>
      <c r="BV5" s="83">
        <v>1291485</v>
      </c>
      <c r="BW5" s="173">
        <v>59991</v>
      </c>
      <c r="BX5" s="173">
        <f t="shared" si="31"/>
        <v>5336.7148760330574</v>
      </c>
      <c r="BY5" s="173">
        <f t="shared" si="32"/>
        <v>247.89669421487602</v>
      </c>
      <c r="BZ5" s="464">
        <f t="shared" si="33"/>
        <v>22.052540810053955</v>
      </c>
      <c r="CA5" s="167">
        <f t="shared" si="34"/>
        <v>0</v>
      </c>
      <c r="CB5" s="173">
        <v>180474</v>
      </c>
      <c r="CC5" s="83">
        <v>206065</v>
      </c>
      <c r="CD5" s="83">
        <v>149696</v>
      </c>
      <c r="CE5" s="83">
        <v>234008</v>
      </c>
      <c r="CF5" s="163">
        <v>-24307</v>
      </c>
      <c r="CG5" s="83">
        <v>132229</v>
      </c>
      <c r="CH5" s="83">
        <v>201834</v>
      </c>
      <c r="CI5" s="83">
        <f t="shared" si="16"/>
        <v>69605</v>
      </c>
      <c r="CJ5" s="153">
        <f t="shared" ref="CJ5:CJ11" si="41">CI5/CG5</f>
        <v>0.52639738635246425</v>
      </c>
      <c r="CK5" s="84">
        <f t="shared" si="35"/>
        <v>1.3765564878153056</v>
      </c>
      <c r="CL5" s="84">
        <f>CD5/CE5</f>
        <v>0.63970462548288942</v>
      </c>
      <c r="CM5" s="84">
        <f t="shared" si="17"/>
        <v>0.97946764370465633</v>
      </c>
      <c r="CN5" s="170">
        <f t="shared" si="18"/>
        <v>345.14454277286137</v>
      </c>
      <c r="CO5" s="167">
        <f t="shared" si="19"/>
        <v>0</v>
      </c>
      <c r="CP5" s="84">
        <f t="shared" si="20"/>
        <v>1.7163195060370722</v>
      </c>
      <c r="CQ5" s="167">
        <f t="shared" si="21"/>
        <v>2</v>
      </c>
      <c r="CR5" s="173">
        <v>180474</v>
      </c>
      <c r="CS5" s="83">
        <v>16385</v>
      </c>
      <c r="CT5" s="83">
        <v>147439</v>
      </c>
      <c r="CU5" s="76">
        <v>0.71622219331338621</v>
      </c>
      <c r="CV5" s="76">
        <f>22848/132229</f>
        <v>0.17279114263890674</v>
      </c>
      <c r="CW5" s="76">
        <v>0</v>
      </c>
      <c r="CX5" s="76">
        <f>8263/132229</f>
        <v>6.2490074038221571E-2</v>
      </c>
      <c r="CY5" s="71"/>
      <c r="CZ5" s="111">
        <v>2009</v>
      </c>
      <c r="DA5" s="111"/>
      <c r="DB5" s="213">
        <f t="shared" si="37"/>
        <v>5</v>
      </c>
      <c r="DC5" s="215">
        <f t="shared" si="22"/>
        <v>45</v>
      </c>
      <c r="DD5" s="409" t="str">
        <f t="shared" si="38"/>
        <v>B</v>
      </c>
      <c r="DE5" s="171" t="s">
        <v>3075</v>
      </c>
      <c r="DF5" s="242" t="s">
        <v>3088</v>
      </c>
      <c r="DG5" s="365" t="s">
        <v>1662</v>
      </c>
      <c r="DH5" s="99" t="s">
        <v>28</v>
      </c>
      <c r="DI5" s="100" t="s">
        <v>3117</v>
      </c>
      <c r="DJ5" s="100" t="s">
        <v>30</v>
      </c>
      <c r="DK5" s="100" t="s">
        <v>31</v>
      </c>
      <c r="DL5" s="100" t="s">
        <v>235</v>
      </c>
      <c r="DM5" s="374">
        <v>4739</v>
      </c>
      <c r="DN5" s="100" t="s">
        <v>437</v>
      </c>
      <c r="DO5" s="376" t="s">
        <v>438</v>
      </c>
    </row>
    <row r="6" spans="1:119" s="57" customFormat="1" ht="63" customHeight="1">
      <c r="A6" s="99" t="s">
        <v>1973</v>
      </c>
      <c r="B6" s="100" t="s">
        <v>478</v>
      </c>
      <c r="C6" s="100" t="s">
        <v>477</v>
      </c>
      <c r="D6" s="391">
        <v>2003</v>
      </c>
      <c r="E6" s="112">
        <v>2003</v>
      </c>
      <c r="F6" s="112">
        <v>2011</v>
      </c>
      <c r="G6" s="112">
        <v>2011</v>
      </c>
      <c r="H6" s="100" t="s">
        <v>39</v>
      </c>
      <c r="I6" s="81">
        <v>3579</v>
      </c>
      <c r="J6" s="81">
        <v>2135</v>
      </c>
      <c r="K6" s="68">
        <f t="shared" si="0"/>
        <v>0.59653534506845485</v>
      </c>
      <c r="L6" s="167">
        <f t="shared" si="23"/>
        <v>2</v>
      </c>
      <c r="M6" s="82">
        <v>28562</v>
      </c>
      <c r="N6" s="123">
        <f>M6/Benchmark!$C$5</f>
        <v>0.76697099892588616</v>
      </c>
      <c r="O6" s="155">
        <f t="shared" si="1"/>
        <v>4</v>
      </c>
      <c r="P6" s="68">
        <v>0.5</v>
      </c>
      <c r="Q6" s="253">
        <f t="shared" si="2"/>
        <v>3</v>
      </c>
      <c r="R6" s="130">
        <f t="shared" si="3"/>
        <v>2003</v>
      </c>
      <c r="S6" s="71">
        <v>0</v>
      </c>
      <c r="T6" s="71" t="s">
        <v>2800</v>
      </c>
      <c r="U6" s="74">
        <v>0</v>
      </c>
      <c r="V6" s="167">
        <f t="shared" si="24"/>
        <v>2</v>
      </c>
      <c r="W6" s="166" t="s">
        <v>3018</v>
      </c>
      <c r="X6" s="101">
        <f>250+1388</f>
        <v>1638</v>
      </c>
      <c r="Y6" s="166" t="s">
        <v>2952</v>
      </c>
      <c r="Z6" s="130">
        <f t="shared" si="4"/>
        <v>2003</v>
      </c>
      <c r="AA6" s="74">
        <v>7.8E-2</v>
      </c>
      <c r="AB6" s="74" t="s">
        <v>1640</v>
      </c>
      <c r="AC6" s="112">
        <f t="shared" si="5"/>
        <v>2011</v>
      </c>
      <c r="AD6" s="71">
        <v>2</v>
      </c>
      <c r="AE6" s="71">
        <v>0</v>
      </c>
      <c r="AF6" s="71">
        <v>1</v>
      </c>
      <c r="AG6" s="101">
        <v>1000000</v>
      </c>
      <c r="AH6" s="71">
        <v>1.5</v>
      </c>
      <c r="AI6" s="101">
        <v>96660</v>
      </c>
      <c r="AJ6" s="101">
        <v>98</v>
      </c>
      <c r="AK6" s="101">
        <v>244432</v>
      </c>
      <c r="AL6" s="101">
        <v>31175</v>
      </c>
      <c r="AM6" s="101">
        <v>14092</v>
      </c>
      <c r="AN6" s="74">
        <f>AM6/(AK6-AL6)</f>
        <v>6.6079894212147786E-2</v>
      </c>
      <c r="AO6" s="74">
        <v>0.1</v>
      </c>
      <c r="AP6" s="167">
        <f t="shared" si="25"/>
        <v>5</v>
      </c>
      <c r="AQ6" s="74" t="s">
        <v>1640</v>
      </c>
      <c r="AR6" s="253">
        <f t="shared" si="39"/>
        <v>1</v>
      </c>
      <c r="AS6" s="101">
        <v>2000000</v>
      </c>
      <c r="AT6" s="72">
        <v>465447</v>
      </c>
      <c r="AU6" s="72">
        <v>1000000</v>
      </c>
      <c r="AV6" s="73">
        <f>AS6/AT6</f>
        <v>4.2969446575012835</v>
      </c>
      <c r="AW6" s="112">
        <f t="shared" si="7"/>
        <v>218.00796252927401</v>
      </c>
      <c r="AX6" s="101">
        <f t="shared" si="8"/>
        <v>7038.9768437652401</v>
      </c>
      <c r="AY6" s="112" t="str">
        <f t="shared" si="9"/>
        <v>Oversized</v>
      </c>
      <c r="AZ6" s="167">
        <f t="shared" si="26"/>
        <v>5</v>
      </c>
      <c r="BA6" s="176">
        <f t="shared" si="10"/>
        <v>358720</v>
      </c>
      <c r="BB6" s="414">
        <f t="shared" si="11"/>
        <v>0.17935999999999999</v>
      </c>
      <c r="BC6" s="167">
        <f t="shared" si="27"/>
        <v>0</v>
      </c>
      <c r="BD6" s="112">
        <f t="shared" si="12"/>
        <v>2011</v>
      </c>
      <c r="BE6" s="81">
        <v>1950</v>
      </c>
      <c r="BF6" s="71">
        <v>5</v>
      </c>
      <c r="BG6" s="263">
        <v>3</v>
      </c>
      <c r="BH6" s="79">
        <f>40.8*4</f>
        <v>163.19999999999999</v>
      </c>
      <c r="BI6" s="152">
        <v>2005</v>
      </c>
      <c r="BJ6" s="167">
        <f t="shared" si="28"/>
        <v>1</v>
      </c>
      <c r="BK6" s="68">
        <f t="shared" si="13"/>
        <v>5.7138855822421392E-3</v>
      </c>
      <c r="BL6" s="167">
        <f t="shared" si="29"/>
        <v>0</v>
      </c>
      <c r="BM6" s="81">
        <f t="shared" si="14"/>
        <v>2135</v>
      </c>
      <c r="BN6" s="71">
        <v>825</v>
      </c>
      <c r="BO6" s="101">
        <v>0</v>
      </c>
      <c r="BP6" s="74">
        <f t="shared" si="15"/>
        <v>1</v>
      </c>
      <c r="BQ6" s="82">
        <v>2996901</v>
      </c>
      <c r="BR6" s="82">
        <v>43229</v>
      </c>
      <c r="BS6" s="82">
        <v>1245446</v>
      </c>
      <c r="BT6" s="153">
        <f t="shared" si="40"/>
        <v>0.41557795869800168</v>
      </c>
      <c r="BU6" s="167">
        <f t="shared" si="30"/>
        <v>2</v>
      </c>
      <c r="BV6" s="82">
        <v>944006</v>
      </c>
      <c r="BW6" s="175">
        <v>78801</v>
      </c>
      <c r="BX6" s="173">
        <f t="shared" si="31"/>
        <v>1144.249696969697</v>
      </c>
      <c r="BY6" s="173">
        <f t="shared" si="32"/>
        <v>95.516363636363636</v>
      </c>
      <c r="BZ6" s="464">
        <f t="shared" si="33"/>
        <v>1.3869693296602388</v>
      </c>
      <c r="CA6" s="167">
        <f t="shared" si="34"/>
        <v>4</v>
      </c>
      <c r="CB6" s="175">
        <v>420546</v>
      </c>
      <c r="CC6" s="82">
        <v>440052</v>
      </c>
      <c r="CD6" s="82">
        <v>327592</v>
      </c>
      <c r="CE6" s="82">
        <v>370920</v>
      </c>
      <c r="CF6" s="175">
        <v>54522</v>
      </c>
      <c r="CG6" s="82">
        <v>312030</v>
      </c>
      <c r="CH6" s="82">
        <v>438933</v>
      </c>
      <c r="CI6" s="82">
        <f t="shared" si="16"/>
        <v>126903</v>
      </c>
      <c r="CJ6" s="153">
        <f t="shared" si="41"/>
        <v>0.40670127872319967</v>
      </c>
      <c r="CK6" s="84">
        <f t="shared" si="35"/>
        <v>1.3432928765049208</v>
      </c>
      <c r="CL6" s="84">
        <f t="shared" si="36"/>
        <v>0.88318774937992017</v>
      </c>
      <c r="CM6" s="84">
        <f t="shared" si="17"/>
        <v>0.9974571187041531</v>
      </c>
      <c r="CN6" s="170">
        <f t="shared" si="18"/>
        <v>173.73302107728338</v>
      </c>
      <c r="CO6" s="167">
        <f t="shared" si="19"/>
        <v>3</v>
      </c>
      <c r="CP6" s="84">
        <f>(CK6+CM6)-CL6</f>
        <v>1.4575622458291537</v>
      </c>
      <c r="CQ6" s="167">
        <f>IF(CP6&gt;2,3,IF(CP6&gt;1,2,0))</f>
        <v>2</v>
      </c>
      <c r="CR6" s="175">
        <v>420546</v>
      </c>
      <c r="CS6" s="82">
        <v>0</v>
      </c>
      <c r="CT6" s="82">
        <v>0</v>
      </c>
      <c r="CU6" s="102">
        <f>156470/438933</f>
        <v>0.35647809574581996</v>
      </c>
      <c r="CV6" s="102">
        <f>13551/438933</f>
        <v>3.0872593311507678E-2</v>
      </c>
      <c r="CW6" s="102">
        <f>127167/438933</f>
        <v>0.28971847639616982</v>
      </c>
      <c r="CX6" s="102">
        <f>14842/438933</f>
        <v>3.3813816687284851E-2</v>
      </c>
      <c r="CY6" s="71"/>
      <c r="CZ6" s="81">
        <v>2005</v>
      </c>
      <c r="DA6" s="71"/>
      <c r="DB6" s="213">
        <f t="shared" si="37"/>
        <v>3</v>
      </c>
      <c r="DC6" s="215">
        <f t="shared" si="22"/>
        <v>37</v>
      </c>
      <c r="DD6" s="409" t="str">
        <f t="shared" si="38"/>
        <v>C</v>
      </c>
      <c r="DE6" s="511" t="s">
        <v>3076</v>
      </c>
      <c r="DF6" s="242" t="s">
        <v>2962</v>
      </c>
      <c r="DG6" s="243" t="s">
        <v>2961</v>
      </c>
      <c r="DH6" s="99" t="s">
        <v>36</v>
      </c>
      <c r="DI6" s="100" t="s">
        <v>3118</v>
      </c>
      <c r="DJ6" s="100" t="s">
        <v>38</v>
      </c>
      <c r="DK6" s="100" t="s">
        <v>39</v>
      </c>
      <c r="DL6" s="100" t="s">
        <v>235</v>
      </c>
      <c r="DM6" s="374">
        <v>4742</v>
      </c>
      <c r="DN6" s="100" t="s">
        <v>480</v>
      </c>
      <c r="DO6" s="376" t="s">
        <v>481</v>
      </c>
    </row>
    <row r="7" spans="1:119" s="164" customFormat="1">
      <c r="A7" s="161" t="s">
        <v>1973</v>
      </c>
      <c r="B7" s="411" t="s">
        <v>488</v>
      </c>
      <c r="C7" s="111" t="s">
        <v>487</v>
      </c>
      <c r="D7" s="391">
        <v>2003</v>
      </c>
      <c r="E7" s="152" t="s">
        <v>1662</v>
      </c>
      <c r="F7" s="112">
        <v>2010</v>
      </c>
      <c r="G7" s="112">
        <v>2010</v>
      </c>
      <c r="H7" s="111" t="s">
        <v>232</v>
      </c>
      <c r="I7" s="111">
        <v>4233</v>
      </c>
      <c r="J7" s="81">
        <v>1268</v>
      </c>
      <c r="K7" s="68">
        <f t="shared" si="0"/>
        <v>0.29955114575950864</v>
      </c>
      <c r="L7" s="167">
        <f t="shared" si="23"/>
        <v>1</v>
      </c>
      <c r="M7" s="83">
        <v>29547</v>
      </c>
      <c r="N7" s="123">
        <f>M7/Benchmark!$C$5</f>
        <v>0.79342105263157892</v>
      </c>
      <c r="O7" s="155">
        <f t="shared" si="1"/>
        <v>4</v>
      </c>
      <c r="P7" s="68">
        <v>0.42899999999999999</v>
      </c>
      <c r="Q7" s="253">
        <f t="shared" si="2"/>
        <v>4</v>
      </c>
      <c r="R7" s="130">
        <f t="shared" si="3"/>
        <v>2003</v>
      </c>
      <c r="S7" s="71">
        <v>0</v>
      </c>
      <c r="T7" s="71" t="s">
        <v>2800</v>
      </c>
      <c r="U7" s="74">
        <v>0.9</v>
      </c>
      <c r="V7" s="167">
        <f t="shared" si="24"/>
        <v>2</v>
      </c>
      <c r="W7" s="74" t="s">
        <v>2907</v>
      </c>
      <c r="X7" s="101">
        <v>750</v>
      </c>
      <c r="Y7" s="112" t="s">
        <v>2910</v>
      </c>
      <c r="Z7" s="130" t="str">
        <f t="shared" si="4"/>
        <v>None</v>
      </c>
      <c r="AA7" s="168" t="s">
        <v>1659</v>
      </c>
      <c r="AB7" s="74" t="s">
        <v>1659</v>
      </c>
      <c r="AC7" s="112">
        <f t="shared" si="5"/>
        <v>2010</v>
      </c>
      <c r="AD7" s="71">
        <v>0</v>
      </c>
      <c r="AE7" s="71">
        <v>0</v>
      </c>
      <c r="AF7" s="71">
        <v>0</v>
      </c>
      <c r="AG7" s="101">
        <v>750000</v>
      </c>
      <c r="AH7" s="71">
        <v>3.75</v>
      </c>
      <c r="AI7" s="69">
        <v>76433</v>
      </c>
      <c r="AJ7" s="111">
        <v>95</v>
      </c>
      <c r="AK7" s="69">
        <v>69069</v>
      </c>
      <c r="AL7" s="69">
        <v>2600</v>
      </c>
      <c r="AM7" s="69">
        <v>6440</v>
      </c>
      <c r="AN7" s="74">
        <f>AM7/(AK7-AL7)</f>
        <v>9.6887270757796864E-2</v>
      </c>
      <c r="AO7" s="74">
        <v>0.15</v>
      </c>
      <c r="AP7" s="167">
        <f t="shared" si="25"/>
        <v>5</v>
      </c>
      <c r="AQ7" s="74" t="s">
        <v>1640</v>
      </c>
      <c r="AR7" s="253">
        <f t="shared" si="39"/>
        <v>1</v>
      </c>
      <c r="AS7" s="101">
        <v>375000</v>
      </c>
      <c r="AT7" s="72">
        <v>199000</v>
      </c>
      <c r="AU7" s="72">
        <v>252000</v>
      </c>
      <c r="AV7" s="73">
        <f t="shared" ref="AV7:AV11" si="42">AS7/AT7</f>
        <v>1.8844221105527639</v>
      </c>
      <c r="AW7" s="112">
        <f t="shared" si="7"/>
        <v>156.94006309148264</v>
      </c>
      <c r="AX7" s="101">
        <f t="shared" si="8"/>
        <v>1121.4472361809046</v>
      </c>
      <c r="AY7" s="112" t="str">
        <f t="shared" si="9"/>
        <v>Undersized</v>
      </c>
      <c r="AZ7" s="167">
        <f t="shared" si="26"/>
        <v>0</v>
      </c>
      <c r="BA7" s="176">
        <f t="shared" si="10"/>
        <v>705000</v>
      </c>
      <c r="BB7" s="414">
        <f t="shared" si="11"/>
        <v>1.88</v>
      </c>
      <c r="BC7" s="167">
        <f t="shared" si="27"/>
        <v>2</v>
      </c>
      <c r="BD7" s="112">
        <f t="shared" si="12"/>
        <v>2010</v>
      </c>
      <c r="BE7" s="111">
        <v>2000</v>
      </c>
      <c r="BF7" s="71" t="s">
        <v>1659</v>
      </c>
      <c r="BG7" s="214">
        <v>4.5</v>
      </c>
      <c r="BH7" s="79">
        <f>74.18*4</f>
        <v>296.72000000000003</v>
      </c>
      <c r="BI7" s="152">
        <v>2002</v>
      </c>
      <c r="BJ7" s="167">
        <f t="shared" si="28"/>
        <v>0</v>
      </c>
      <c r="BK7" s="68">
        <f t="shared" si="13"/>
        <v>1.0042305479405694E-2</v>
      </c>
      <c r="BL7" s="167">
        <f t="shared" si="29"/>
        <v>2</v>
      </c>
      <c r="BM7" s="81">
        <f t="shared" si="14"/>
        <v>1268</v>
      </c>
      <c r="BN7" s="71">
        <v>716</v>
      </c>
      <c r="BO7" s="111">
        <v>1</v>
      </c>
      <c r="BP7" s="74">
        <f t="shared" si="15"/>
        <v>0.99860529986053004</v>
      </c>
      <c r="BQ7" s="82">
        <v>2686730</v>
      </c>
      <c r="BR7" s="82">
        <v>53142</v>
      </c>
      <c r="BS7" s="366" t="s">
        <v>1659</v>
      </c>
      <c r="BT7" s="153"/>
      <c r="BU7" s="167"/>
      <c r="BV7" s="83">
        <v>642135</v>
      </c>
      <c r="BW7" s="173">
        <v>79521</v>
      </c>
      <c r="BX7" s="173">
        <f t="shared" si="31"/>
        <v>895.58577405857739</v>
      </c>
      <c r="BY7" s="173">
        <f t="shared" si="32"/>
        <v>110.90794979079497</v>
      </c>
      <c r="BZ7" s="464">
        <f t="shared" si="33"/>
        <v>1.2490736039868582</v>
      </c>
      <c r="CA7" s="167">
        <f t="shared" si="34"/>
        <v>4</v>
      </c>
      <c r="CB7" s="173">
        <v>227470</v>
      </c>
      <c r="CC7" s="83">
        <v>326944.26</v>
      </c>
      <c r="CD7" s="83">
        <v>208409.36000000002</v>
      </c>
      <c r="CE7" s="83">
        <v>208409.36000000002</v>
      </c>
      <c r="CF7" s="173">
        <v>44339.09</v>
      </c>
      <c r="CG7" s="83">
        <v>214933.55</v>
      </c>
      <c r="CH7" s="83">
        <v>325485</v>
      </c>
      <c r="CI7" s="82">
        <f t="shared" si="16"/>
        <v>110551.45000000001</v>
      </c>
      <c r="CJ7" s="153">
        <f t="shared" si="41"/>
        <v>0.51435176127691562</v>
      </c>
      <c r="CK7" s="84">
        <f t="shared" si="35"/>
        <v>1.5687599635640164</v>
      </c>
      <c r="CL7" s="84">
        <f>CD7/CE7</f>
        <v>1</v>
      </c>
      <c r="CM7" s="84">
        <f t="shared" si="17"/>
        <v>0.99553667037922611</v>
      </c>
      <c r="CN7" s="170">
        <f t="shared" si="18"/>
        <v>164.36069400630916</v>
      </c>
      <c r="CO7" s="167">
        <f t="shared" si="19"/>
        <v>3</v>
      </c>
      <c r="CP7" s="84">
        <f t="shared" ref="CP7:CP25" si="43">(CK7+CM7)-CL7</f>
        <v>1.5642966339432425</v>
      </c>
      <c r="CQ7" s="167">
        <f t="shared" ref="CQ7:CQ25" si="44">IF(CP7&gt;2,3,IF(CP7&gt;1,2,0))</f>
        <v>2</v>
      </c>
      <c r="CR7" s="173">
        <v>227470</v>
      </c>
      <c r="CS7" s="83">
        <v>0</v>
      </c>
      <c r="CT7" s="83">
        <v>0</v>
      </c>
      <c r="CU7" s="76">
        <f>134359/325485</f>
        <v>0.41279628861545081</v>
      </c>
      <c r="CV7" s="76">
        <f>45424/325485</f>
        <v>0.13955789053258982</v>
      </c>
      <c r="CW7" s="76">
        <v>0</v>
      </c>
      <c r="CX7" s="76">
        <f>35151/325485</f>
        <v>0.10799576017327987</v>
      </c>
      <c r="CY7" s="164">
        <v>2012</v>
      </c>
      <c r="CZ7" s="111">
        <v>1998</v>
      </c>
      <c r="DA7" s="111"/>
      <c r="DB7" s="213">
        <f>IF(CY7&gt;2006,5,IF(CY7&gt;2000,3,IF(CY7&gt;1995,1,0)))</f>
        <v>5</v>
      </c>
      <c r="DC7" s="215">
        <f t="shared" si="22"/>
        <v>35</v>
      </c>
      <c r="DD7" s="409" t="str">
        <f t="shared" si="38"/>
        <v>D</v>
      </c>
      <c r="DF7" s="241" t="s">
        <v>2802</v>
      </c>
      <c r="DG7" s="365" t="s">
        <v>1662</v>
      </c>
      <c r="DH7" s="99" t="s">
        <v>3119</v>
      </c>
      <c r="DI7" s="100" t="s">
        <v>3120</v>
      </c>
      <c r="DJ7" s="100" t="s">
        <v>490</v>
      </c>
      <c r="DK7" s="100" t="s">
        <v>232</v>
      </c>
      <c r="DL7" s="100" t="s">
        <v>235</v>
      </c>
      <c r="DM7" s="374">
        <v>4743</v>
      </c>
      <c r="DN7" s="100" t="s">
        <v>491</v>
      </c>
      <c r="DO7" s="376" t="s">
        <v>492</v>
      </c>
    </row>
    <row r="8" spans="1:119" s="164" customFormat="1">
      <c r="A8" s="161" t="s">
        <v>1973</v>
      </c>
      <c r="B8" s="111" t="s">
        <v>510</v>
      </c>
      <c r="C8" s="111" t="s">
        <v>509</v>
      </c>
      <c r="D8" s="391">
        <v>2003</v>
      </c>
      <c r="E8" s="152" t="s">
        <v>1662</v>
      </c>
      <c r="F8" s="112">
        <v>2009</v>
      </c>
      <c r="G8" s="112">
        <v>2012</v>
      </c>
      <c r="H8" s="111" t="s">
        <v>63</v>
      </c>
      <c r="I8" s="111">
        <v>518</v>
      </c>
      <c r="J8" s="81">
        <v>288</v>
      </c>
      <c r="K8" s="68">
        <f t="shared" si="0"/>
        <v>0.55598455598455598</v>
      </c>
      <c r="L8" s="167">
        <f t="shared" si="23"/>
        <v>2</v>
      </c>
      <c r="M8" s="83">
        <v>28125</v>
      </c>
      <c r="N8" s="123">
        <f>M8/Benchmark!$C$5</f>
        <v>0.75523630504833517</v>
      </c>
      <c r="O8" s="155">
        <f t="shared" si="1"/>
        <v>4</v>
      </c>
      <c r="P8" s="68">
        <v>0.47299999999999998</v>
      </c>
      <c r="Q8" s="253">
        <f t="shared" si="2"/>
        <v>3</v>
      </c>
      <c r="R8" s="130">
        <f t="shared" si="3"/>
        <v>2003</v>
      </c>
      <c r="S8" s="71" t="s">
        <v>2815</v>
      </c>
      <c r="T8" s="71" t="s">
        <v>1972</v>
      </c>
      <c r="U8" s="74">
        <v>1</v>
      </c>
      <c r="V8" s="167">
        <f t="shared" si="24"/>
        <v>4</v>
      </c>
      <c r="W8" s="74" t="s">
        <v>2904</v>
      </c>
      <c r="X8" s="101">
        <v>140</v>
      </c>
      <c r="Y8" s="112" t="s">
        <v>2910</v>
      </c>
      <c r="Z8" s="130" t="str">
        <f t="shared" si="4"/>
        <v>None</v>
      </c>
      <c r="AA8" s="168" t="s">
        <v>1659</v>
      </c>
      <c r="AB8" s="74" t="s">
        <v>1659</v>
      </c>
      <c r="AC8" s="112">
        <f t="shared" si="5"/>
        <v>2009</v>
      </c>
      <c r="AD8" s="71">
        <v>0</v>
      </c>
      <c r="AE8" s="71"/>
      <c r="AF8" s="71">
        <v>0</v>
      </c>
      <c r="AG8" s="101">
        <v>263000</v>
      </c>
      <c r="AH8" s="71">
        <v>15</v>
      </c>
      <c r="AI8" s="69">
        <f>5280*2</f>
        <v>10560</v>
      </c>
      <c r="AJ8" s="111">
        <v>0</v>
      </c>
      <c r="AK8" s="71" t="s">
        <v>1659</v>
      </c>
      <c r="AL8" s="71" t="s">
        <v>1659</v>
      </c>
      <c r="AM8" s="71" t="s">
        <v>1659</v>
      </c>
      <c r="AN8" s="74" t="s">
        <v>1659</v>
      </c>
      <c r="AO8" s="74">
        <v>7.0000000000000007E-2</v>
      </c>
      <c r="AP8" s="167">
        <f>IF(AO8&lt;12%,5,IF(AO8&lt;18%,4,IF(AO8&lt;23%,2,IF(AO8&gt;22%,0))))</f>
        <v>5</v>
      </c>
      <c r="AQ8" s="165" t="s">
        <v>1639</v>
      </c>
      <c r="AR8" s="253">
        <f t="shared" si="39"/>
        <v>5</v>
      </c>
      <c r="AS8" s="101">
        <v>90000</v>
      </c>
      <c r="AT8" s="72">
        <v>13000</v>
      </c>
      <c r="AU8" s="72">
        <v>15000</v>
      </c>
      <c r="AV8" s="73">
        <f t="shared" si="42"/>
        <v>6.9230769230769234</v>
      </c>
      <c r="AW8" s="112">
        <f t="shared" si="7"/>
        <v>45.138888888888886</v>
      </c>
      <c r="AX8" s="101">
        <f t="shared" si="8"/>
        <v>1705.846153846154</v>
      </c>
      <c r="AY8" s="112" t="str">
        <f t="shared" si="9"/>
        <v>Oversized</v>
      </c>
      <c r="AZ8" s="167">
        <f t="shared" si="26"/>
        <v>5</v>
      </c>
      <c r="BA8" s="176">
        <f t="shared" si="10"/>
        <v>111600</v>
      </c>
      <c r="BB8" s="414">
        <f t="shared" si="11"/>
        <v>1.24</v>
      </c>
      <c r="BC8" s="167">
        <f t="shared" si="27"/>
        <v>2</v>
      </c>
      <c r="BD8" s="112">
        <f t="shared" si="12"/>
        <v>2012</v>
      </c>
      <c r="BE8" s="111">
        <v>1905</v>
      </c>
      <c r="BF8" s="169" t="s">
        <v>1659</v>
      </c>
      <c r="BG8" s="214">
        <v>2</v>
      </c>
      <c r="BH8" s="79">
        <f>80*4</f>
        <v>320</v>
      </c>
      <c r="BI8" s="152">
        <v>2002</v>
      </c>
      <c r="BJ8" s="167">
        <f t="shared" si="28"/>
        <v>0</v>
      </c>
      <c r="BK8" s="68">
        <f t="shared" si="13"/>
        <v>1.1377777777777778E-2</v>
      </c>
      <c r="BL8" s="167">
        <f t="shared" si="29"/>
        <v>2</v>
      </c>
      <c r="BM8" s="81">
        <f t="shared" si="14"/>
        <v>288</v>
      </c>
      <c r="BN8" s="71">
        <v>0</v>
      </c>
      <c r="BO8" s="111">
        <v>116</v>
      </c>
      <c r="BP8" s="74">
        <v>0</v>
      </c>
      <c r="BQ8" s="82">
        <v>1458304</v>
      </c>
      <c r="BR8" s="82">
        <v>26515</v>
      </c>
      <c r="BS8" s="83">
        <v>570065</v>
      </c>
      <c r="BT8" s="153">
        <f t="shared" si="40"/>
        <v>0.39090957715263758</v>
      </c>
      <c r="BU8" s="167">
        <f t="shared" si="30"/>
        <v>3</v>
      </c>
      <c r="BV8" s="83">
        <v>135796</v>
      </c>
      <c r="BW8" s="173">
        <f>162469-135796</f>
        <v>26673</v>
      </c>
      <c r="BX8" s="173">
        <f t="shared" si="31"/>
        <v>1170.655172413793</v>
      </c>
      <c r="BY8" s="173">
        <f t="shared" si="32"/>
        <v>229.93965517241378</v>
      </c>
      <c r="BZ8" s="464">
        <f t="shared" si="33"/>
        <v>10.091854934601663</v>
      </c>
      <c r="CA8" s="167">
        <f t="shared" si="34"/>
        <v>0</v>
      </c>
      <c r="CB8" s="173">
        <v>0</v>
      </c>
      <c r="CC8" s="83">
        <v>82841</v>
      </c>
      <c r="CD8" s="83">
        <v>46898</v>
      </c>
      <c r="CE8" s="83">
        <v>73413</v>
      </c>
      <c r="CF8" s="173">
        <v>3093</v>
      </c>
      <c r="CG8" s="83">
        <v>82821</v>
      </c>
      <c r="CH8" s="83">
        <v>82821</v>
      </c>
      <c r="CI8" s="83">
        <f t="shared" si="16"/>
        <v>0</v>
      </c>
      <c r="CJ8" s="153">
        <f t="shared" si="41"/>
        <v>0</v>
      </c>
      <c r="CK8" s="84">
        <f t="shared" si="35"/>
        <v>1.7664079491662756</v>
      </c>
      <c r="CL8" s="84">
        <f t="shared" si="36"/>
        <v>0.63882418645199079</v>
      </c>
      <c r="CM8" s="84">
        <f t="shared" si="17"/>
        <v>0.9997585736531428</v>
      </c>
      <c r="CN8" s="170">
        <f t="shared" si="18"/>
        <v>254.90625</v>
      </c>
      <c r="CO8" s="167">
        <f t="shared" si="19"/>
        <v>3</v>
      </c>
      <c r="CP8" s="84">
        <f t="shared" si="43"/>
        <v>2.1273423363674278</v>
      </c>
      <c r="CQ8" s="167">
        <f t="shared" si="44"/>
        <v>3</v>
      </c>
      <c r="CR8" s="173">
        <v>0</v>
      </c>
      <c r="CS8" s="83">
        <v>0</v>
      </c>
      <c r="CT8" s="83">
        <v>0</v>
      </c>
      <c r="CU8" s="76">
        <f>82821/82821</f>
        <v>1</v>
      </c>
      <c r="CV8" s="111">
        <v>0</v>
      </c>
      <c r="CW8" s="111">
        <v>0</v>
      </c>
      <c r="CX8" s="111">
        <v>0</v>
      </c>
      <c r="CY8" s="111">
        <v>1990</v>
      </c>
      <c r="CZ8" s="111"/>
      <c r="DA8" s="111"/>
      <c r="DB8" s="213">
        <f t="shared" si="37"/>
        <v>0</v>
      </c>
      <c r="DC8" s="215">
        <f t="shared" si="22"/>
        <v>41</v>
      </c>
      <c r="DD8" s="409" t="str">
        <f t="shared" si="38"/>
        <v>C</v>
      </c>
      <c r="DE8" s="171"/>
      <c r="DF8" s="241" t="s">
        <v>2803</v>
      </c>
      <c r="DG8" s="365" t="s">
        <v>1662</v>
      </c>
      <c r="DH8" s="99" t="s">
        <v>3119</v>
      </c>
      <c r="DI8" s="518" t="s">
        <v>3237</v>
      </c>
      <c r="DJ8" s="100" t="s">
        <v>512</v>
      </c>
      <c r="DK8" s="100" t="s">
        <v>63</v>
      </c>
      <c r="DL8" s="100" t="s">
        <v>235</v>
      </c>
      <c r="DM8" s="374">
        <v>4746</v>
      </c>
      <c r="DN8" s="100" t="s">
        <v>513</v>
      </c>
      <c r="DO8" s="375" t="s">
        <v>514</v>
      </c>
    </row>
    <row r="9" spans="1:119" s="164" customFormat="1">
      <c r="A9" s="161" t="s">
        <v>1973</v>
      </c>
      <c r="B9" s="111" t="s">
        <v>66</v>
      </c>
      <c r="C9" s="111" t="s">
        <v>545</v>
      </c>
      <c r="D9" s="391">
        <v>2003</v>
      </c>
      <c r="E9" s="112">
        <v>2007</v>
      </c>
      <c r="F9" s="112">
        <v>2012</v>
      </c>
      <c r="G9" s="112">
        <v>2011</v>
      </c>
      <c r="H9" s="111" t="s">
        <v>71</v>
      </c>
      <c r="I9" s="111">
        <v>6476</v>
      </c>
      <c r="J9" s="81">
        <v>4825</v>
      </c>
      <c r="K9" s="68">
        <f t="shared" si="0"/>
        <v>0.74505867819641758</v>
      </c>
      <c r="L9" s="167">
        <f t="shared" si="23"/>
        <v>3</v>
      </c>
      <c r="M9" s="83">
        <v>26212</v>
      </c>
      <c r="N9" s="123">
        <f>M9/Benchmark!$C$5</f>
        <v>0.70386680988184747</v>
      </c>
      <c r="O9" s="155">
        <f t="shared" si="1"/>
        <v>3</v>
      </c>
      <c r="P9" s="68">
        <v>0.5</v>
      </c>
      <c r="Q9" s="253">
        <f t="shared" si="2"/>
        <v>3</v>
      </c>
      <c r="R9" s="130">
        <f t="shared" si="3"/>
        <v>2003</v>
      </c>
      <c r="S9" s="71">
        <v>0</v>
      </c>
      <c r="T9" s="71" t="s">
        <v>2810</v>
      </c>
      <c r="U9" s="74">
        <v>0.65</v>
      </c>
      <c r="V9" s="167">
        <f t="shared" si="24"/>
        <v>1</v>
      </c>
      <c r="W9" s="74" t="s">
        <v>2906</v>
      </c>
      <c r="X9" s="101">
        <v>1850</v>
      </c>
      <c r="Y9" s="112" t="s">
        <v>2910</v>
      </c>
      <c r="Z9" s="130">
        <f t="shared" si="4"/>
        <v>2007</v>
      </c>
      <c r="AA9" s="74">
        <v>0.05</v>
      </c>
      <c r="AB9" s="74" t="s">
        <v>1640</v>
      </c>
      <c r="AC9" s="112">
        <f t="shared" si="5"/>
        <v>2012</v>
      </c>
      <c r="AD9" s="71">
        <v>0</v>
      </c>
      <c r="AE9" s="71">
        <v>0</v>
      </c>
      <c r="AF9" s="71">
        <v>0</v>
      </c>
      <c r="AG9" s="101">
        <f>825000+1000000+520000</f>
        <v>2345000</v>
      </c>
      <c r="AH9" s="71">
        <v>3.5</v>
      </c>
      <c r="AI9" s="69">
        <v>248948</v>
      </c>
      <c r="AJ9" s="111">
        <f>216+15</f>
        <v>231</v>
      </c>
      <c r="AK9" s="69">
        <v>269963</v>
      </c>
      <c r="AL9" s="69">
        <v>72321</v>
      </c>
      <c r="AM9" s="69">
        <v>52701</v>
      </c>
      <c r="AN9" s="74">
        <f>AM9/(AK9-AL9)</f>
        <v>0.26664878922496232</v>
      </c>
      <c r="AO9" s="74" t="s">
        <v>1659</v>
      </c>
      <c r="AP9" s="167">
        <f t="shared" si="25"/>
        <v>0</v>
      </c>
      <c r="AQ9" s="74" t="s">
        <v>1640</v>
      </c>
      <c r="AR9" s="253">
        <f t="shared" si="39"/>
        <v>1</v>
      </c>
      <c r="AS9" s="101">
        <v>1300000</v>
      </c>
      <c r="AT9" s="72">
        <v>690000</v>
      </c>
      <c r="AU9" s="72">
        <v>998000</v>
      </c>
      <c r="AV9" s="73">
        <f t="shared" si="42"/>
        <v>1.8840579710144927</v>
      </c>
      <c r="AW9" s="112">
        <f t="shared" si="7"/>
        <v>143.00518134715026</v>
      </c>
      <c r="AX9" s="101">
        <f t="shared" si="8"/>
        <v>4265.579710144928</v>
      </c>
      <c r="AY9" s="112" t="str">
        <f t="shared" si="9"/>
        <v>Undersized</v>
      </c>
      <c r="AZ9" s="167">
        <f t="shared" si="26"/>
        <v>0</v>
      </c>
      <c r="BA9" s="176">
        <f t="shared" si="10"/>
        <v>1364000</v>
      </c>
      <c r="BB9" s="414">
        <f t="shared" si="11"/>
        <v>1.0492307692307692</v>
      </c>
      <c r="BC9" s="167">
        <f t="shared" si="27"/>
        <v>2</v>
      </c>
      <c r="BD9" s="112">
        <f t="shared" si="12"/>
        <v>2011</v>
      </c>
      <c r="BE9" s="111">
        <v>1880</v>
      </c>
      <c r="BF9" s="71">
        <v>10</v>
      </c>
      <c r="BG9" s="262">
        <v>4</v>
      </c>
      <c r="BH9" s="79">
        <f>30*4</f>
        <v>120</v>
      </c>
      <c r="BI9" s="152">
        <v>1998</v>
      </c>
      <c r="BJ9" s="167">
        <f t="shared" si="28"/>
        <v>0</v>
      </c>
      <c r="BK9" s="68">
        <f t="shared" si="13"/>
        <v>4.5780558522813975E-3</v>
      </c>
      <c r="BL9" s="167">
        <f t="shared" si="29"/>
        <v>0</v>
      </c>
      <c r="BM9" s="81">
        <f t="shared" si="14"/>
        <v>4825</v>
      </c>
      <c r="BN9" s="71">
        <v>1842</v>
      </c>
      <c r="BO9" s="111">
        <v>77</v>
      </c>
      <c r="BP9" s="74">
        <f t="shared" si="15"/>
        <v>0.95987493486190723</v>
      </c>
      <c r="BQ9" s="82">
        <v>10326570</v>
      </c>
      <c r="BR9" s="82">
        <v>181731</v>
      </c>
      <c r="BS9" s="83">
        <v>4309338</v>
      </c>
      <c r="BT9" s="153">
        <f t="shared" si="40"/>
        <v>0.41730584308245622</v>
      </c>
      <c r="BU9" s="167">
        <f t="shared" si="30"/>
        <v>2</v>
      </c>
      <c r="BV9" s="83">
        <v>5406792</v>
      </c>
      <c r="BW9" s="174">
        <v>-31472</v>
      </c>
      <c r="BX9" s="173">
        <f t="shared" si="31"/>
        <v>2817.5049504950493</v>
      </c>
      <c r="BY9" s="173">
        <f t="shared" si="32"/>
        <v>-16.400208441896822</v>
      </c>
      <c r="BZ9" s="464">
        <f t="shared" si="33"/>
        <v>1.4682151904612033</v>
      </c>
      <c r="CA9" s="167">
        <f t="shared" si="34"/>
        <v>4</v>
      </c>
      <c r="CB9" s="173">
        <v>0</v>
      </c>
      <c r="CC9" s="83">
        <v>815238</v>
      </c>
      <c r="CD9" s="83">
        <v>642097.66</v>
      </c>
      <c r="CE9" s="83">
        <v>784430</v>
      </c>
      <c r="CF9" s="174">
        <v>-5977</v>
      </c>
      <c r="CG9" s="83">
        <v>477656.81</v>
      </c>
      <c r="CH9" s="83">
        <v>814488</v>
      </c>
      <c r="CI9" s="83">
        <f t="shared" si="16"/>
        <v>336831.19</v>
      </c>
      <c r="CJ9" s="153">
        <f t="shared" si="41"/>
        <v>0.70517405582472492</v>
      </c>
      <c r="CK9" s="84">
        <f t="shared" si="35"/>
        <v>1.269647984700645</v>
      </c>
      <c r="CL9" s="84">
        <f t="shared" si="36"/>
        <v>0.81855316599314154</v>
      </c>
      <c r="CM9" s="84">
        <f t="shared" si="17"/>
        <v>0.99908002325701206</v>
      </c>
      <c r="CN9" s="170">
        <f t="shared" si="18"/>
        <v>162.57616580310881</v>
      </c>
      <c r="CO9" s="167">
        <f t="shared" si="19"/>
        <v>4</v>
      </c>
      <c r="CP9" s="84">
        <f t="shared" si="43"/>
        <v>1.4501748419645155</v>
      </c>
      <c r="CQ9" s="167">
        <f t="shared" si="44"/>
        <v>2</v>
      </c>
      <c r="CR9" s="173">
        <v>0</v>
      </c>
      <c r="CS9" s="83">
        <v>0</v>
      </c>
      <c r="CT9" s="83">
        <v>1343580</v>
      </c>
      <c r="CU9" s="76">
        <f>288919.07/814488.28</f>
        <v>0.35472464993603098</v>
      </c>
      <c r="CV9" s="76">
        <f>142618.86/814488.28</f>
        <v>0.17510240908561628</v>
      </c>
      <c r="CW9" s="76">
        <f>30977.5/814488.28</f>
        <v>3.8033082563201523E-2</v>
      </c>
      <c r="CX9" s="76">
        <f>15141.38/814488.28</f>
        <v>1.859005264016813E-2</v>
      </c>
      <c r="CY9" s="71"/>
      <c r="CZ9" s="111">
        <v>2011</v>
      </c>
      <c r="DA9" s="111"/>
      <c r="DB9" s="213">
        <f t="shared" si="37"/>
        <v>5</v>
      </c>
      <c r="DC9" s="215">
        <f t="shared" si="22"/>
        <v>30</v>
      </c>
      <c r="DD9" s="409" t="str">
        <f t="shared" si="38"/>
        <v>F</v>
      </c>
      <c r="DE9" s="171"/>
      <c r="DF9" s="241" t="s">
        <v>3082</v>
      </c>
      <c r="DG9" s="240" t="s">
        <v>3087</v>
      </c>
      <c r="DH9" s="99" t="s">
        <v>3121</v>
      </c>
      <c r="DI9" s="100" t="s">
        <v>3122</v>
      </c>
      <c r="DJ9" s="100" t="s">
        <v>547</v>
      </c>
      <c r="DK9" s="100" t="s">
        <v>71</v>
      </c>
      <c r="DL9" s="100" t="s">
        <v>235</v>
      </c>
      <c r="DM9" s="374">
        <v>4730</v>
      </c>
      <c r="DN9" s="100" t="s">
        <v>548</v>
      </c>
      <c r="DO9" s="376" t="s">
        <v>549</v>
      </c>
    </row>
    <row r="10" spans="1:119" s="57" customFormat="1" ht="42">
      <c r="A10" s="99" t="s">
        <v>1973</v>
      </c>
      <c r="B10" s="100" t="s">
        <v>557</v>
      </c>
      <c r="C10" s="100" t="s">
        <v>556</v>
      </c>
      <c r="D10" s="391">
        <v>2003</v>
      </c>
      <c r="E10" s="112">
        <v>2010</v>
      </c>
      <c r="F10" s="112">
        <v>2011</v>
      </c>
      <c r="G10" s="112">
        <v>2012</v>
      </c>
      <c r="H10" s="100" t="s">
        <v>313</v>
      </c>
      <c r="I10" s="81">
        <v>793</v>
      </c>
      <c r="J10" s="81">
        <v>570</v>
      </c>
      <c r="K10" s="68">
        <f t="shared" si="0"/>
        <v>0.71878940731399743</v>
      </c>
      <c r="L10" s="167">
        <f t="shared" si="23"/>
        <v>3</v>
      </c>
      <c r="M10" s="82">
        <v>27083</v>
      </c>
      <c r="N10" s="123">
        <f>M10/Benchmark!$C$5</f>
        <v>0.72725563909774438</v>
      </c>
      <c r="O10" s="155">
        <f>IF(N10&gt;86%,5,IF(N10&gt;75%,4,IF(N10&gt;70%,3,IF(N10&gt;60%,2,IF(N10&gt;50%,1,0)))))</f>
        <v>3</v>
      </c>
      <c r="P10" s="68">
        <v>0.48099999999999998</v>
      </c>
      <c r="Q10" s="253">
        <f t="shared" si="2"/>
        <v>3</v>
      </c>
      <c r="R10" s="130">
        <f t="shared" si="3"/>
        <v>2003</v>
      </c>
      <c r="S10" s="71">
        <v>0</v>
      </c>
      <c r="T10" s="71" t="s">
        <v>2800</v>
      </c>
      <c r="U10" s="74">
        <v>0.9</v>
      </c>
      <c r="V10" s="167">
        <f t="shared" si="24"/>
        <v>2</v>
      </c>
      <c r="W10" s="74" t="s">
        <v>2908</v>
      </c>
      <c r="X10" s="101">
        <v>235</v>
      </c>
      <c r="Y10" s="112" t="s">
        <v>2909</v>
      </c>
      <c r="Z10" s="130">
        <f t="shared" si="4"/>
        <v>2010</v>
      </c>
      <c r="AA10" s="74" t="s">
        <v>1640</v>
      </c>
      <c r="AB10" s="74" t="s">
        <v>1640</v>
      </c>
      <c r="AC10" s="112">
        <f t="shared" si="5"/>
        <v>2011</v>
      </c>
      <c r="AD10" s="71">
        <v>4</v>
      </c>
      <c r="AE10" s="71"/>
      <c r="AF10" s="71">
        <v>0</v>
      </c>
      <c r="AG10" s="101">
        <v>500000</v>
      </c>
      <c r="AH10" s="71">
        <v>20</v>
      </c>
      <c r="AI10" s="101">
        <v>33501</v>
      </c>
      <c r="AJ10" s="101">
        <v>41</v>
      </c>
      <c r="AK10" s="101">
        <v>18493</v>
      </c>
      <c r="AL10" s="101">
        <v>1847</v>
      </c>
      <c r="AM10" s="101">
        <v>8420</v>
      </c>
      <c r="AN10" s="74">
        <f>AM10/(AK10-AL10)</f>
        <v>0.50582722575994232</v>
      </c>
      <c r="AO10" s="74">
        <v>0.28000000000000003</v>
      </c>
      <c r="AP10" s="167">
        <f t="shared" si="25"/>
        <v>0</v>
      </c>
      <c r="AQ10" s="74" t="s">
        <v>1639</v>
      </c>
      <c r="AR10" s="253">
        <f t="shared" si="39"/>
        <v>5</v>
      </c>
      <c r="AS10" s="101">
        <v>200000</v>
      </c>
      <c r="AT10" s="72">
        <v>22000</v>
      </c>
      <c r="AU10" s="72">
        <v>200000</v>
      </c>
      <c r="AV10" s="73">
        <f t="shared" si="42"/>
        <v>9.0909090909090917</v>
      </c>
      <c r="AW10" s="112">
        <f t="shared" si="7"/>
        <v>38.596491228070178</v>
      </c>
      <c r="AX10" s="101">
        <f>(AS10-AT10)/AW10</f>
        <v>4611.8181818181811</v>
      </c>
      <c r="AY10" s="112" t="str">
        <f t="shared" si="9"/>
        <v>Oversized</v>
      </c>
      <c r="AZ10" s="167">
        <f t="shared" si="26"/>
        <v>5</v>
      </c>
      <c r="BA10" s="176">
        <f t="shared" si="10"/>
        <v>138400</v>
      </c>
      <c r="BB10" s="414">
        <f t="shared" si="11"/>
        <v>0.69199999999999995</v>
      </c>
      <c r="BC10" s="167">
        <f t="shared" si="27"/>
        <v>1</v>
      </c>
      <c r="BD10" s="112">
        <f t="shared" si="12"/>
        <v>2012</v>
      </c>
      <c r="BE10" s="81">
        <v>1915</v>
      </c>
      <c r="BF10" s="71" t="s">
        <v>1659</v>
      </c>
      <c r="BG10" s="263">
        <v>2</v>
      </c>
      <c r="BH10" s="79">
        <f>136.1*4</f>
        <v>544.4</v>
      </c>
      <c r="BI10" s="152">
        <v>2009</v>
      </c>
      <c r="BJ10" s="167">
        <f t="shared" si="28"/>
        <v>3</v>
      </c>
      <c r="BK10" s="68">
        <f t="shared" si="13"/>
        <v>2.0101170475944317E-2</v>
      </c>
      <c r="BL10" s="167">
        <f t="shared" si="29"/>
        <v>5</v>
      </c>
      <c r="BM10" s="81">
        <f t="shared" si="14"/>
        <v>570</v>
      </c>
      <c r="BN10" s="71">
        <v>200</v>
      </c>
      <c r="BO10" s="101">
        <v>0</v>
      </c>
      <c r="BP10" s="74">
        <f t="shared" si="15"/>
        <v>1</v>
      </c>
      <c r="BQ10" s="82">
        <v>2820972</v>
      </c>
      <c r="BR10" s="82">
        <v>40357</v>
      </c>
      <c r="BS10" s="82">
        <v>508650</v>
      </c>
      <c r="BT10" s="153">
        <f t="shared" si="40"/>
        <v>0.18031019095545792</v>
      </c>
      <c r="BU10" s="167">
        <f t="shared" si="30"/>
        <v>5</v>
      </c>
      <c r="BV10" s="82">
        <v>787197</v>
      </c>
      <c r="BW10" s="175">
        <v>52096</v>
      </c>
      <c r="BX10" s="173">
        <f t="shared" si="31"/>
        <v>3935.9850000000001</v>
      </c>
      <c r="BY10" s="173">
        <f t="shared" si="32"/>
        <v>260.48</v>
      </c>
      <c r="BZ10" s="464">
        <f t="shared" si="33"/>
        <v>19.679925000000001</v>
      </c>
      <c r="CA10" s="167">
        <f t="shared" si="34"/>
        <v>0</v>
      </c>
      <c r="CB10" s="175">
        <v>110244</v>
      </c>
      <c r="CC10" s="82">
        <v>193057</v>
      </c>
      <c r="CD10" s="82">
        <v>77810</v>
      </c>
      <c r="CE10" s="82">
        <v>118167</v>
      </c>
      <c r="CF10" s="175">
        <v>208463</v>
      </c>
      <c r="CG10" s="82">
        <v>187764</v>
      </c>
      <c r="CH10" s="82">
        <v>191032</v>
      </c>
      <c r="CI10" s="82">
        <f t="shared" si="16"/>
        <v>3268</v>
      </c>
      <c r="CJ10" s="153">
        <f t="shared" si="41"/>
        <v>1.7404827336443621E-2</v>
      </c>
      <c r="CK10" s="84">
        <f>CC10/CD10</f>
        <v>2.4811335303945508</v>
      </c>
      <c r="CL10" s="84">
        <f t="shared" si="36"/>
        <v>0.65847487031066199</v>
      </c>
      <c r="CM10" s="84">
        <f t="shared" si="17"/>
        <v>0.9895108698467292</v>
      </c>
      <c r="CN10" s="170">
        <f t="shared" si="18"/>
        <v>207.31052631578947</v>
      </c>
      <c r="CO10" s="167">
        <f t="shared" si="19"/>
        <v>3</v>
      </c>
      <c r="CP10" s="84">
        <f>(CK10+CM10)-CL10</f>
        <v>2.8121695299306184</v>
      </c>
      <c r="CQ10" s="167">
        <f t="shared" si="44"/>
        <v>3</v>
      </c>
      <c r="CR10" s="175">
        <v>0</v>
      </c>
      <c r="CS10" s="82">
        <v>0</v>
      </c>
      <c r="CT10" s="82">
        <v>0</v>
      </c>
      <c r="CU10" s="102">
        <f>117703/187764</f>
        <v>0.6268667050126755</v>
      </c>
      <c r="CV10" s="102">
        <f>11180/187764</f>
        <v>5.9542830361517647E-2</v>
      </c>
      <c r="CW10" s="102">
        <v>0</v>
      </c>
      <c r="CX10" s="102">
        <f>58881/187764</f>
        <v>0.31359046462580686</v>
      </c>
      <c r="CY10" s="71"/>
      <c r="CZ10" s="81">
        <v>2011</v>
      </c>
      <c r="DA10" s="71"/>
      <c r="DB10" s="213">
        <f t="shared" si="37"/>
        <v>5</v>
      </c>
      <c r="DC10" s="215">
        <f t="shared" si="22"/>
        <v>46</v>
      </c>
      <c r="DD10" s="409" t="str">
        <f t="shared" si="38"/>
        <v>B</v>
      </c>
      <c r="DE10" s="171"/>
      <c r="DF10" s="242" t="s">
        <v>2960</v>
      </c>
      <c r="DG10" s="365" t="s">
        <v>1662</v>
      </c>
      <c r="DH10" s="99" t="s">
        <v>3123</v>
      </c>
      <c r="DI10" s="100" t="s">
        <v>3124</v>
      </c>
      <c r="DJ10" s="100" t="s">
        <v>559</v>
      </c>
      <c r="DK10" s="100" t="s">
        <v>313</v>
      </c>
      <c r="DL10" s="100" t="s">
        <v>235</v>
      </c>
      <c r="DM10" s="374">
        <v>4747</v>
      </c>
      <c r="DN10" s="100" t="s">
        <v>560</v>
      </c>
      <c r="DO10" s="376" t="s">
        <v>561</v>
      </c>
    </row>
    <row r="11" spans="1:119" s="164" customFormat="1" ht="28">
      <c r="A11" s="161" t="s">
        <v>1973</v>
      </c>
      <c r="B11" s="111" t="s">
        <v>74</v>
      </c>
      <c r="C11" s="111" t="s">
        <v>595</v>
      </c>
      <c r="D11" s="391">
        <v>2003</v>
      </c>
      <c r="E11" s="152" t="s">
        <v>1662</v>
      </c>
      <c r="F11" s="112">
        <v>2011</v>
      </c>
      <c r="G11" s="112">
        <v>2012</v>
      </c>
      <c r="H11" s="111" t="s">
        <v>79</v>
      </c>
      <c r="I11" s="111">
        <v>2361</v>
      </c>
      <c r="J11" s="81">
        <v>853</v>
      </c>
      <c r="K11" s="68">
        <f t="shared" si="0"/>
        <v>0.36128759000423549</v>
      </c>
      <c r="L11" s="167">
        <f t="shared" si="23"/>
        <v>1</v>
      </c>
      <c r="M11" s="83">
        <v>35313</v>
      </c>
      <c r="N11" s="123">
        <f>M11/Benchmark!$C$5</f>
        <v>0.94825456498388827</v>
      </c>
      <c r="O11" s="155">
        <f t="shared" ref="O11" si="45">IF(N11&gt;86%,5,IF(N11&gt;75%,4,IF(N11&gt;70%,3,IF(N11&gt;60%,2,IF(N11&gt;50%,1,0)))))</f>
        <v>5</v>
      </c>
      <c r="P11" s="68">
        <v>0.39200000000000002</v>
      </c>
      <c r="Q11" s="253">
        <f t="shared" si="2"/>
        <v>4</v>
      </c>
      <c r="R11" s="130">
        <f t="shared" si="3"/>
        <v>2003</v>
      </c>
      <c r="S11" s="71">
        <v>0</v>
      </c>
      <c r="T11" s="71" t="s">
        <v>1972</v>
      </c>
      <c r="U11" s="74">
        <v>0.2</v>
      </c>
      <c r="V11" s="167">
        <f t="shared" si="24"/>
        <v>4</v>
      </c>
      <c r="W11" s="74" t="s">
        <v>2904</v>
      </c>
      <c r="X11" s="101">
        <v>900</v>
      </c>
      <c r="Y11" s="112" t="s">
        <v>3040</v>
      </c>
      <c r="Z11" s="130" t="str">
        <f t="shared" si="4"/>
        <v>None</v>
      </c>
      <c r="AA11" s="168" t="s">
        <v>1659</v>
      </c>
      <c r="AB11" s="74" t="s">
        <v>1659</v>
      </c>
      <c r="AC11" s="112">
        <f t="shared" si="5"/>
        <v>2011</v>
      </c>
      <c r="AD11" s="71">
        <v>0</v>
      </c>
      <c r="AE11" s="71">
        <v>1</v>
      </c>
      <c r="AF11" s="71">
        <v>0</v>
      </c>
      <c r="AG11" s="101">
        <v>225000</v>
      </c>
      <c r="AH11" s="71">
        <v>2.5</v>
      </c>
      <c r="AI11" s="69">
        <f>7*5280</f>
        <v>36960</v>
      </c>
      <c r="AJ11" s="111">
        <v>47</v>
      </c>
      <c r="AK11" s="69">
        <v>50877</v>
      </c>
      <c r="AL11" s="69">
        <v>14566</v>
      </c>
      <c r="AM11" s="69">
        <f>35736-14566</f>
        <v>21170</v>
      </c>
      <c r="AN11" s="74">
        <f>AM11/AK11</f>
        <v>0.41610157831633154</v>
      </c>
      <c r="AO11" s="74">
        <v>0.3</v>
      </c>
      <c r="AP11" s="167">
        <f t="shared" si="25"/>
        <v>0</v>
      </c>
      <c r="AQ11" s="165" t="s">
        <v>1639</v>
      </c>
      <c r="AR11" s="253">
        <f t="shared" si="39"/>
        <v>5</v>
      </c>
      <c r="AS11" s="101">
        <v>650000</v>
      </c>
      <c r="AT11" s="72">
        <v>139386</v>
      </c>
      <c r="AU11" s="72">
        <v>285940</v>
      </c>
      <c r="AV11" s="73">
        <f t="shared" si="42"/>
        <v>4.6633090841260962</v>
      </c>
      <c r="AW11" s="112">
        <f t="shared" si="7"/>
        <v>163.40679953106681</v>
      </c>
      <c r="AX11" s="101">
        <f>(AS11-AT11)/AW11</f>
        <v>3124.8026487595598</v>
      </c>
      <c r="AY11" s="112" t="str">
        <f t="shared" si="9"/>
        <v>Oversized</v>
      </c>
      <c r="AZ11" s="167">
        <f t="shared" si="26"/>
        <v>5</v>
      </c>
      <c r="BA11" s="176">
        <f t="shared" si="10"/>
        <v>646000</v>
      </c>
      <c r="BB11" s="414">
        <f t="shared" si="11"/>
        <v>0.99384615384615382</v>
      </c>
      <c r="BC11" s="167">
        <f t="shared" si="27"/>
        <v>2</v>
      </c>
      <c r="BD11" s="112">
        <f t="shared" si="12"/>
        <v>2012</v>
      </c>
      <c r="BE11" s="111">
        <v>1961</v>
      </c>
      <c r="BF11" s="71">
        <v>8</v>
      </c>
      <c r="BG11" s="214">
        <v>3</v>
      </c>
      <c r="BH11" s="79">
        <f>64.2*4</f>
        <v>256.8</v>
      </c>
      <c r="BI11" s="152">
        <v>2000</v>
      </c>
      <c r="BJ11" s="167">
        <f t="shared" si="28"/>
        <v>0</v>
      </c>
      <c r="BK11" s="68">
        <f t="shared" si="13"/>
        <v>7.2721094214595198E-3</v>
      </c>
      <c r="BL11" s="167">
        <f t="shared" si="29"/>
        <v>1</v>
      </c>
      <c r="BM11" s="81">
        <f t="shared" si="14"/>
        <v>853</v>
      </c>
      <c r="BN11" s="71">
        <v>0</v>
      </c>
      <c r="BO11" s="111">
        <v>338</v>
      </c>
      <c r="BP11" s="74">
        <f t="shared" si="15"/>
        <v>0</v>
      </c>
      <c r="BQ11" s="82">
        <v>2332120</v>
      </c>
      <c r="BR11" s="82">
        <v>55575</v>
      </c>
      <c r="BS11" s="83">
        <v>986408</v>
      </c>
      <c r="BT11" s="153">
        <f t="shared" si="40"/>
        <v>0.42296622815292523</v>
      </c>
      <c r="BU11" s="167">
        <f t="shared" si="30"/>
        <v>2</v>
      </c>
      <c r="BV11" s="83">
        <v>3245820</v>
      </c>
      <c r="BW11" s="173">
        <v>61119</v>
      </c>
      <c r="BX11" s="173">
        <f t="shared" si="31"/>
        <v>9603.0177514792904</v>
      </c>
      <c r="BY11" s="173">
        <f t="shared" si="32"/>
        <v>180.82544378698225</v>
      </c>
      <c r="BZ11" s="464">
        <f t="shared" si="33"/>
        <v>28.411295122719793</v>
      </c>
      <c r="CA11" s="167">
        <f t="shared" si="34"/>
        <v>0</v>
      </c>
      <c r="CB11" s="173">
        <v>186982</v>
      </c>
      <c r="CC11" s="83">
        <v>229105</v>
      </c>
      <c r="CD11" s="83">
        <v>200731</v>
      </c>
      <c r="CE11" s="83">
        <v>256306</v>
      </c>
      <c r="CF11" s="174">
        <v>-57456</v>
      </c>
      <c r="CG11" s="83">
        <v>150981</v>
      </c>
      <c r="CH11" s="83">
        <v>229105</v>
      </c>
      <c r="CI11" s="83">
        <f t="shared" si="16"/>
        <v>78124</v>
      </c>
      <c r="CJ11" s="153">
        <f t="shared" si="41"/>
        <v>0.51744259211423949</v>
      </c>
      <c r="CK11" s="84">
        <f t="shared" si="35"/>
        <v>1.1413533534929832</v>
      </c>
      <c r="CL11" s="84">
        <f t="shared" si="36"/>
        <v>0.78316933665228283</v>
      </c>
      <c r="CM11" s="84">
        <f t="shared" si="17"/>
        <v>1</v>
      </c>
      <c r="CN11" s="170">
        <f t="shared" si="18"/>
        <v>300.47596717467763</v>
      </c>
      <c r="CO11" s="167">
        <f t="shared" si="19"/>
        <v>0</v>
      </c>
      <c r="CP11" s="84">
        <f t="shared" si="43"/>
        <v>1.3581840168407</v>
      </c>
      <c r="CQ11" s="167">
        <f t="shared" si="44"/>
        <v>2</v>
      </c>
      <c r="CR11" s="173">
        <v>186982</v>
      </c>
      <c r="CS11" s="83">
        <v>0</v>
      </c>
      <c r="CT11" s="83">
        <v>63426</v>
      </c>
      <c r="CU11" s="76">
        <f>120400/150981</f>
        <v>0.79745133493618403</v>
      </c>
      <c r="CV11" s="76">
        <f>13645/150981</f>
        <v>9.0375610176114882E-2</v>
      </c>
      <c r="CW11" s="76">
        <v>0</v>
      </c>
      <c r="CX11" s="76">
        <f>16936/150981</f>
        <v>0.1121730548877011</v>
      </c>
      <c r="CY11" s="111">
        <v>2011</v>
      </c>
      <c r="CZ11" s="111">
        <v>2010</v>
      </c>
      <c r="DA11" s="111"/>
      <c r="DB11" s="213">
        <f t="shared" si="37"/>
        <v>5</v>
      </c>
      <c r="DC11" s="215">
        <f t="shared" si="22"/>
        <v>36</v>
      </c>
      <c r="DD11" s="409" t="str">
        <f t="shared" si="38"/>
        <v>D</v>
      </c>
      <c r="DE11" s="171"/>
      <c r="DF11" s="242" t="s">
        <v>2808</v>
      </c>
      <c r="DG11" s="365" t="s">
        <v>1662</v>
      </c>
      <c r="DH11" s="99" t="s">
        <v>76</v>
      </c>
      <c r="DI11" s="100" t="s">
        <v>3125</v>
      </c>
      <c r="DJ11" s="100" t="s">
        <v>597</v>
      </c>
      <c r="DK11" s="100" t="s">
        <v>79</v>
      </c>
      <c r="DL11" s="100" t="s">
        <v>235</v>
      </c>
      <c r="DM11" s="374">
        <v>4750</v>
      </c>
      <c r="DN11" s="100" t="s">
        <v>598</v>
      </c>
      <c r="DO11" s="376" t="s">
        <v>599</v>
      </c>
    </row>
    <row r="12" spans="1:119" s="164" customFormat="1" ht="28">
      <c r="A12" s="161" t="s">
        <v>1973</v>
      </c>
      <c r="B12" s="111" t="s">
        <v>659</v>
      </c>
      <c r="C12" s="111" t="s">
        <v>658</v>
      </c>
      <c r="D12" s="391" t="s">
        <v>3102</v>
      </c>
      <c r="E12" s="112">
        <v>2011</v>
      </c>
      <c r="F12" s="112">
        <v>2012</v>
      </c>
      <c r="G12" s="112">
        <v>2012</v>
      </c>
      <c r="H12" s="111" t="s">
        <v>93</v>
      </c>
      <c r="I12" s="111">
        <v>4534</v>
      </c>
      <c r="J12" s="81">
        <v>2853</v>
      </c>
      <c r="K12" s="68">
        <f t="shared" si="0"/>
        <v>0.62924569916188799</v>
      </c>
      <c r="L12" s="167">
        <f t="shared" si="23"/>
        <v>3</v>
      </c>
      <c r="M12" s="83">
        <v>30994</v>
      </c>
      <c r="N12" s="123">
        <f>M12/Benchmark!$C$5</f>
        <v>0.83227712137486576</v>
      </c>
      <c r="O12" s="155">
        <f t="shared" ref="O12:O17" si="46">IF(N12&gt;86%,5,IF(N12&gt;75%,4,IF(N12&gt;70%,3,IF(N12&gt;60%,2,IF(N12&gt;50%,1,0)))))</f>
        <v>4</v>
      </c>
      <c r="P12" s="68">
        <v>0.42099999999999999</v>
      </c>
      <c r="Q12" s="253">
        <f t="shared" ref="Q12:Q17" si="47">IF(P12&gt;67%,1,IF(P12&gt;56%, 2, IF(P12&gt;46%, 3, IF(P12&gt;36%, 4,0))))</f>
        <v>4</v>
      </c>
      <c r="R12" s="171" t="str">
        <f t="shared" si="3"/>
        <v>In Progress</v>
      </c>
      <c r="S12" s="71">
        <v>0</v>
      </c>
      <c r="T12" s="75" t="s">
        <v>2800</v>
      </c>
      <c r="U12" s="74">
        <v>0.95</v>
      </c>
      <c r="V12" s="167">
        <f t="shared" si="24"/>
        <v>2</v>
      </c>
      <c r="W12" s="75" t="s">
        <v>2906</v>
      </c>
      <c r="X12" s="101">
        <v>1470</v>
      </c>
      <c r="Y12" s="112" t="s">
        <v>2910</v>
      </c>
      <c r="Z12" s="130">
        <f t="shared" si="4"/>
        <v>2011</v>
      </c>
      <c r="AA12" s="74">
        <v>0.02</v>
      </c>
      <c r="AB12" s="74" t="s">
        <v>1640</v>
      </c>
      <c r="AC12" s="112">
        <f t="shared" si="5"/>
        <v>2012</v>
      </c>
      <c r="AD12" s="71">
        <v>0</v>
      </c>
      <c r="AE12" s="71">
        <v>0</v>
      </c>
      <c r="AF12" s="71">
        <v>0</v>
      </c>
      <c r="AG12" s="101">
        <v>500000</v>
      </c>
      <c r="AH12" s="71">
        <v>1.5</v>
      </c>
      <c r="AI12" s="69">
        <v>105025</v>
      </c>
      <c r="AJ12" s="111">
        <v>140</v>
      </c>
      <c r="AK12" s="69">
        <v>118563.46100000002</v>
      </c>
      <c r="AL12" s="69">
        <v>22901.337</v>
      </c>
      <c r="AM12" s="69">
        <v>16618.72</v>
      </c>
      <c r="AN12" s="74">
        <f>AM12/AK12</f>
        <v>0.14016729825388613</v>
      </c>
      <c r="AO12" s="74">
        <v>0.13</v>
      </c>
      <c r="AP12" s="167">
        <f t="shared" si="25"/>
        <v>4</v>
      </c>
      <c r="AQ12" s="74" t="s">
        <v>1640</v>
      </c>
      <c r="AR12" s="253">
        <f t="shared" ref="AR12:AR17" si="48">IF(AQ12= "No", 5,IF(AQ12="Yes",1,0))</f>
        <v>1</v>
      </c>
      <c r="AS12" s="101">
        <v>1000000</v>
      </c>
      <c r="AT12" s="72">
        <v>370000</v>
      </c>
      <c r="AU12" s="72">
        <v>847000</v>
      </c>
      <c r="AV12" s="73">
        <f>AS12/AT12</f>
        <v>2.7027027027027026</v>
      </c>
      <c r="AW12" s="112">
        <f t="shared" si="7"/>
        <v>129.68804766912024</v>
      </c>
      <c r="AX12" s="101">
        <f t="shared" ref="AX12:AX25" si="49">(AS12-AT12)/AW12</f>
        <v>4857.8108108108099</v>
      </c>
      <c r="AY12" s="112" t="str">
        <f t="shared" si="9"/>
        <v>Fullsized</v>
      </c>
      <c r="AZ12" s="167">
        <f t="shared" si="26"/>
        <v>2</v>
      </c>
      <c r="BA12" s="176">
        <f t="shared" si="10"/>
        <v>1116800</v>
      </c>
      <c r="BB12" s="414">
        <f t="shared" si="11"/>
        <v>1.1168</v>
      </c>
      <c r="BC12" s="167">
        <f t="shared" si="27"/>
        <v>2</v>
      </c>
      <c r="BD12" s="112">
        <f t="shared" si="12"/>
        <v>2012</v>
      </c>
      <c r="BE12" s="111">
        <v>1954</v>
      </c>
      <c r="BF12" s="71">
        <v>9</v>
      </c>
      <c r="BG12" s="214">
        <v>3</v>
      </c>
      <c r="BH12" s="78">
        <f>89.65*4</f>
        <v>358.6</v>
      </c>
      <c r="BI12" s="152">
        <v>2009</v>
      </c>
      <c r="BJ12" s="167">
        <f t="shared" si="28"/>
        <v>3</v>
      </c>
      <c r="BK12" s="68">
        <f t="shared" si="13"/>
        <v>1.1569981286700653E-2</v>
      </c>
      <c r="BL12" s="167">
        <f t="shared" si="29"/>
        <v>2</v>
      </c>
      <c r="BM12" s="81">
        <f t="shared" si="14"/>
        <v>2853</v>
      </c>
      <c r="BN12" s="71">
        <v>1111</v>
      </c>
      <c r="BO12" s="111">
        <v>16</v>
      </c>
      <c r="BP12" s="74">
        <f t="shared" ref="BP12:BP17" si="50">BN12/(BN12+BO12)</f>
        <v>0.98580301685891747</v>
      </c>
      <c r="BQ12" s="83">
        <v>5232852.01</v>
      </c>
      <c r="BR12" s="83">
        <v>133852.57</v>
      </c>
      <c r="BS12" s="83">
        <v>1461172.4800000004</v>
      </c>
      <c r="BT12" s="153">
        <f>BS12/BQ12</f>
        <v>0.27923061405285193</v>
      </c>
      <c r="BU12" s="167">
        <f t="shared" si="30"/>
        <v>4</v>
      </c>
      <c r="BV12" s="83">
        <v>3623183.28</v>
      </c>
      <c r="BW12" s="174">
        <v>-309296.60000000009</v>
      </c>
      <c r="BX12" s="173">
        <f>BV12/(BN12+BO12)</f>
        <v>3214.891996450754</v>
      </c>
      <c r="BY12" s="173">
        <f t="shared" si="32"/>
        <v>-274.44241348713405</v>
      </c>
      <c r="BZ12" s="464">
        <f t="shared" si="33"/>
        <v>2.8526104671257801</v>
      </c>
      <c r="CA12" s="167">
        <f t="shared" si="34"/>
        <v>3</v>
      </c>
      <c r="CB12" s="173">
        <v>-209827.98</v>
      </c>
      <c r="CC12" s="83">
        <v>937211.21</v>
      </c>
      <c r="CD12" s="83">
        <v>604758.10000000009</v>
      </c>
      <c r="CE12" s="83">
        <v>738610.66999999993</v>
      </c>
      <c r="CF12" s="173">
        <v>182966.98</v>
      </c>
      <c r="CG12" s="83">
        <v>636642.29999999993</v>
      </c>
      <c r="CH12" s="83">
        <v>937211</v>
      </c>
      <c r="CI12" s="83">
        <f t="shared" ref="CI12:CI17" si="51">CH12-CG12</f>
        <v>300568.70000000007</v>
      </c>
      <c r="CJ12" s="153">
        <f t="shared" ref="CJ12:CJ17" si="52">CI12/CG12</f>
        <v>0.47211550347816994</v>
      </c>
      <c r="CK12" s="84">
        <f t="shared" ref="CK12:CK17" si="53">CC12/CD12</f>
        <v>1.5497290734923597</v>
      </c>
      <c r="CL12" s="84">
        <f t="shared" ref="CL12:CL17" si="54">CD12/CE12</f>
        <v>0.81877790907082371</v>
      </c>
      <c r="CM12" s="84">
        <f t="shared" si="17"/>
        <v>0.99999977593097722</v>
      </c>
      <c r="CN12" s="170">
        <f t="shared" si="18"/>
        <v>258.88912372940763</v>
      </c>
      <c r="CO12" s="167">
        <f t="shared" si="19"/>
        <v>3</v>
      </c>
      <c r="CP12" s="84">
        <f t="shared" si="43"/>
        <v>1.7309509403525132</v>
      </c>
      <c r="CQ12" s="167">
        <f t="shared" si="44"/>
        <v>2</v>
      </c>
      <c r="CR12" s="173">
        <v>-209827.98</v>
      </c>
      <c r="CS12" s="83">
        <v>0</v>
      </c>
      <c r="CT12" s="83">
        <v>0</v>
      </c>
      <c r="CU12" s="76">
        <f>389920.19/636642.3</f>
        <v>0.61246352936334891</v>
      </c>
      <c r="CV12" s="76">
        <f>117761.91/636642.3</f>
        <v>0.18497343013494391</v>
      </c>
      <c r="CW12" s="76">
        <f>127396.25/636642.3</f>
        <v>0.2001064805150396</v>
      </c>
      <c r="CX12" s="76">
        <f>1563.95/636642.3</f>
        <v>2.4565599866675524E-3</v>
      </c>
      <c r="CY12" s="57"/>
      <c r="CZ12" s="111">
        <v>2010</v>
      </c>
      <c r="DA12" s="111"/>
      <c r="DB12" s="213">
        <f t="shared" si="37"/>
        <v>5</v>
      </c>
      <c r="DC12" s="215">
        <f t="shared" si="22"/>
        <v>44</v>
      </c>
      <c r="DD12" s="409" t="str">
        <f t="shared" si="38"/>
        <v>B</v>
      </c>
      <c r="DE12" s="171"/>
      <c r="DF12" s="241" t="s">
        <v>2812</v>
      </c>
      <c r="DG12" s="243" t="s">
        <v>3090</v>
      </c>
      <c r="DH12" s="99" t="s">
        <v>3131</v>
      </c>
      <c r="DI12" s="100" t="s">
        <v>3132</v>
      </c>
      <c r="DJ12" s="100" t="s">
        <v>661</v>
      </c>
      <c r="DK12" s="100" t="s">
        <v>93</v>
      </c>
      <c r="DL12" s="100" t="s">
        <v>235</v>
      </c>
      <c r="DM12" s="374">
        <v>4756</v>
      </c>
      <c r="DN12" s="100" t="s">
        <v>662</v>
      </c>
      <c r="DO12" s="376" t="s">
        <v>663</v>
      </c>
    </row>
    <row r="13" spans="1:119" s="164" customFormat="1" ht="70">
      <c r="A13" s="161" t="s">
        <v>1973</v>
      </c>
      <c r="B13" s="412" t="s">
        <v>694</v>
      </c>
      <c r="C13" s="111" t="s">
        <v>693</v>
      </c>
      <c r="D13" s="391">
        <v>2012</v>
      </c>
      <c r="E13" s="112">
        <v>2005</v>
      </c>
      <c r="F13" s="112">
        <v>2008</v>
      </c>
      <c r="G13" s="112">
        <v>2012</v>
      </c>
      <c r="H13" s="162" t="s">
        <v>2947</v>
      </c>
      <c r="I13" s="111">
        <f>1480+806+559</f>
        <v>2845</v>
      </c>
      <c r="J13" s="81">
        <v>1550</v>
      </c>
      <c r="K13" s="68">
        <f t="shared" si="0"/>
        <v>0.54481546572934969</v>
      </c>
      <c r="L13" s="167">
        <f t="shared" si="23"/>
        <v>2</v>
      </c>
      <c r="M13" s="83">
        <v>26140</v>
      </c>
      <c r="N13" s="123">
        <f>M13/Benchmark!$C$5</f>
        <v>0.70193340494092371</v>
      </c>
      <c r="O13" s="155">
        <f t="shared" si="46"/>
        <v>3</v>
      </c>
      <c r="P13" s="68">
        <v>0.51519999999999999</v>
      </c>
      <c r="Q13" s="253">
        <f t="shared" si="47"/>
        <v>3</v>
      </c>
      <c r="R13" s="130">
        <f t="shared" si="3"/>
        <v>2012</v>
      </c>
      <c r="S13" s="71" t="s">
        <v>2815</v>
      </c>
      <c r="T13" s="71" t="s">
        <v>2810</v>
      </c>
      <c r="U13" s="74">
        <v>1</v>
      </c>
      <c r="V13" s="167">
        <f t="shared" si="24"/>
        <v>1</v>
      </c>
      <c r="W13" s="273" t="s">
        <v>3019</v>
      </c>
      <c r="X13" s="101">
        <f>100*3</f>
        <v>300</v>
      </c>
      <c r="Y13" s="74" t="s">
        <v>3020</v>
      </c>
      <c r="Z13" s="130">
        <f t="shared" si="4"/>
        <v>2005</v>
      </c>
      <c r="AA13" s="74">
        <v>0.06</v>
      </c>
      <c r="AB13" s="74" t="s">
        <v>1640</v>
      </c>
      <c r="AC13" s="112">
        <f t="shared" si="5"/>
        <v>2008</v>
      </c>
      <c r="AD13" s="71">
        <v>0</v>
      </c>
      <c r="AE13" s="71">
        <v>0</v>
      </c>
      <c r="AF13" s="71">
        <v>0</v>
      </c>
      <c r="AG13" s="101">
        <v>500000</v>
      </c>
      <c r="AH13" s="71">
        <v>2.5</v>
      </c>
      <c r="AI13" s="69">
        <v>86230</v>
      </c>
      <c r="AJ13" s="111">
        <v>64</v>
      </c>
      <c r="AK13" s="69">
        <v>65110</v>
      </c>
      <c r="AL13" s="69">
        <v>7761</v>
      </c>
      <c r="AM13" s="69">
        <v>26770</v>
      </c>
      <c r="AN13" s="74">
        <v>0.41</v>
      </c>
      <c r="AO13" s="71" t="s">
        <v>1659</v>
      </c>
      <c r="AP13" s="167">
        <f t="shared" si="25"/>
        <v>0</v>
      </c>
      <c r="AQ13" s="165" t="s">
        <v>1639</v>
      </c>
      <c r="AR13" s="253">
        <f t="shared" si="48"/>
        <v>5</v>
      </c>
      <c r="AS13" s="101">
        <v>350000</v>
      </c>
      <c r="AT13" s="72">
        <v>20000</v>
      </c>
      <c r="AU13" s="72" t="s">
        <v>1659</v>
      </c>
      <c r="AV13" s="73">
        <f>AS13/AT13</f>
        <v>17.5</v>
      </c>
      <c r="AW13" s="112">
        <f t="shared" si="7"/>
        <v>12.903225806451612</v>
      </c>
      <c r="AX13" s="101">
        <f t="shared" si="49"/>
        <v>25575</v>
      </c>
      <c r="AY13" s="112" t="str">
        <f t="shared" si="9"/>
        <v>Oversized</v>
      </c>
      <c r="AZ13" s="167">
        <f t="shared" si="26"/>
        <v>5</v>
      </c>
      <c r="BA13" s="176">
        <f t="shared" si="10"/>
        <v>82000</v>
      </c>
      <c r="BB13" s="414">
        <f t="shared" si="11"/>
        <v>0.23428571428571429</v>
      </c>
      <c r="BC13" s="167">
        <f t="shared" si="27"/>
        <v>0</v>
      </c>
      <c r="BD13" s="112">
        <f t="shared" si="12"/>
        <v>2012</v>
      </c>
      <c r="BE13" s="111">
        <v>1980</v>
      </c>
      <c r="BF13" s="71">
        <v>4</v>
      </c>
      <c r="BG13" s="214">
        <v>3</v>
      </c>
      <c r="BH13" s="78">
        <v>317.24</v>
      </c>
      <c r="BI13" s="152">
        <v>2013</v>
      </c>
      <c r="BJ13" s="167">
        <f t="shared" si="28"/>
        <v>5</v>
      </c>
      <c r="BK13" s="68">
        <f t="shared" si="13"/>
        <v>1.213618974751339E-2</v>
      </c>
      <c r="BL13" s="167">
        <f t="shared" si="29"/>
        <v>2</v>
      </c>
      <c r="BM13" s="81">
        <f t="shared" si="14"/>
        <v>1550</v>
      </c>
      <c r="BN13" s="71">
        <v>604</v>
      </c>
      <c r="BO13" s="111">
        <v>0</v>
      </c>
      <c r="BP13" s="74">
        <f t="shared" si="50"/>
        <v>1</v>
      </c>
      <c r="BQ13" s="83">
        <v>4565178</v>
      </c>
      <c r="BR13" s="82">
        <v>54380</v>
      </c>
      <c r="BS13" s="366" t="s">
        <v>1659</v>
      </c>
      <c r="BT13" s="153"/>
      <c r="BU13" s="167"/>
      <c r="BV13" s="83">
        <v>2305369</v>
      </c>
      <c r="BW13" s="174">
        <v>81737</v>
      </c>
      <c r="BX13" s="173">
        <f t="shared" si="31"/>
        <v>3816.8360927152316</v>
      </c>
      <c r="BY13" s="173">
        <f t="shared" si="32"/>
        <v>135.32615894039736</v>
      </c>
      <c r="BZ13" s="464">
        <f t="shared" si="33"/>
        <v>6.3192650541642905</v>
      </c>
      <c r="CA13" s="167">
        <f t="shared" si="34"/>
        <v>2</v>
      </c>
      <c r="CB13" s="173">
        <v>1085401</v>
      </c>
      <c r="CC13" s="83">
        <v>355616</v>
      </c>
      <c r="CD13" s="83">
        <v>221852</v>
      </c>
      <c r="CE13" s="83">
        <v>283677</v>
      </c>
      <c r="CF13" s="174">
        <v>-4681</v>
      </c>
      <c r="CG13" s="83">
        <v>234240</v>
      </c>
      <c r="CH13" s="83">
        <v>355616</v>
      </c>
      <c r="CI13" s="83">
        <f t="shared" si="51"/>
        <v>121376</v>
      </c>
      <c r="CJ13" s="153">
        <f t="shared" si="52"/>
        <v>0.51816939890710378</v>
      </c>
      <c r="CK13" s="84">
        <f t="shared" si="53"/>
        <v>1.6029425022086796</v>
      </c>
      <c r="CL13" s="84">
        <f t="shared" si="54"/>
        <v>0.78205846790539946</v>
      </c>
      <c r="CM13" s="84">
        <f t="shared" si="17"/>
        <v>1</v>
      </c>
      <c r="CN13" s="170">
        <f t="shared" si="18"/>
        <v>183.01741935483872</v>
      </c>
      <c r="CO13" s="167">
        <f t="shared" si="19"/>
        <v>3</v>
      </c>
      <c r="CP13" s="84">
        <f t="shared" si="43"/>
        <v>1.8208840343032802</v>
      </c>
      <c r="CQ13" s="167">
        <f t="shared" si="44"/>
        <v>2</v>
      </c>
      <c r="CR13" s="173">
        <v>1085401</v>
      </c>
      <c r="CS13" s="83">
        <v>0</v>
      </c>
      <c r="CT13" s="83">
        <v>0</v>
      </c>
      <c r="CU13" s="76">
        <f>162609/234240</f>
        <v>0.69419825819672132</v>
      </c>
      <c r="CV13" s="76">
        <f>32765/234240</f>
        <v>0.13987790300546449</v>
      </c>
      <c r="CW13" s="76">
        <f>31974/234240</f>
        <v>0.13650102459016394</v>
      </c>
      <c r="CX13" s="76">
        <f>6892/234240</f>
        <v>2.9422814207650274E-2</v>
      </c>
      <c r="CY13" s="111">
        <v>2011</v>
      </c>
      <c r="CZ13" s="111">
        <v>2012</v>
      </c>
      <c r="DA13" s="111"/>
      <c r="DB13" s="213">
        <f t="shared" si="37"/>
        <v>5</v>
      </c>
      <c r="DC13" s="215">
        <f t="shared" si="22"/>
        <v>38</v>
      </c>
      <c r="DD13" s="409" t="str">
        <f t="shared" si="38"/>
        <v>C</v>
      </c>
      <c r="DE13" s="171"/>
      <c r="DF13" s="241" t="s">
        <v>3017</v>
      </c>
      <c r="DG13" s="243" t="s">
        <v>3161</v>
      </c>
      <c r="DH13" s="99" t="s">
        <v>105</v>
      </c>
      <c r="DI13" s="100" t="s">
        <v>3133</v>
      </c>
      <c r="DJ13" s="100" t="s">
        <v>107</v>
      </c>
      <c r="DK13" s="100" t="s">
        <v>108</v>
      </c>
      <c r="DL13" s="100" t="s">
        <v>235</v>
      </c>
      <c r="DM13" s="374">
        <v>4758</v>
      </c>
      <c r="DN13" s="100" t="s">
        <v>696</v>
      </c>
      <c r="DO13" s="376"/>
    </row>
    <row r="14" spans="1:119" s="164" customFormat="1" ht="28">
      <c r="A14" s="161" t="s">
        <v>1973</v>
      </c>
      <c r="B14" s="111" t="s">
        <v>839</v>
      </c>
      <c r="C14" s="111" t="s">
        <v>838</v>
      </c>
      <c r="D14" s="391">
        <v>2012</v>
      </c>
      <c r="E14" s="112">
        <v>2011</v>
      </c>
      <c r="F14" s="112">
        <v>2011</v>
      </c>
      <c r="G14" s="112">
        <v>2012</v>
      </c>
      <c r="H14" s="111" t="s">
        <v>55</v>
      </c>
      <c r="I14" s="111">
        <v>9511</v>
      </c>
      <c r="J14" s="81">
        <v>5993</v>
      </c>
      <c r="K14" s="68">
        <f t="shared" si="0"/>
        <v>0.63011250131426766</v>
      </c>
      <c r="L14" s="167">
        <f t="shared" si="23"/>
        <v>3</v>
      </c>
      <c r="M14" s="83">
        <v>29325</v>
      </c>
      <c r="N14" s="123">
        <f>M14/Benchmark!$C$5</f>
        <v>0.78745972073039738</v>
      </c>
      <c r="O14" s="155">
        <f t="shared" si="46"/>
        <v>4</v>
      </c>
      <c r="P14" s="68">
        <v>0.44600000000000001</v>
      </c>
      <c r="Q14" s="253">
        <f t="shared" si="47"/>
        <v>4</v>
      </c>
      <c r="R14" s="130">
        <f t="shared" si="3"/>
        <v>2012</v>
      </c>
      <c r="S14" s="71" t="s">
        <v>2815</v>
      </c>
      <c r="T14" s="71" t="s">
        <v>1972</v>
      </c>
      <c r="U14" s="74">
        <v>0.75</v>
      </c>
      <c r="V14" s="167">
        <f t="shared" si="24"/>
        <v>4</v>
      </c>
      <c r="W14" s="74" t="s">
        <v>2904</v>
      </c>
      <c r="X14" s="101">
        <v>2600</v>
      </c>
      <c r="Y14" s="112" t="s">
        <v>2910</v>
      </c>
      <c r="Z14" s="130">
        <f t="shared" si="4"/>
        <v>2011</v>
      </c>
      <c r="AA14" s="168" t="s">
        <v>1659</v>
      </c>
      <c r="AB14" s="74" t="s">
        <v>1659</v>
      </c>
      <c r="AC14" s="112">
        <f t="shared" si="5"/>
        <v>2011</v>
      </c>
      <c r="AD14" s="71">
        <v>0</v>
      </c>
      <c r="AE14" s="71">
        <v>0</v>
      </c>
      <c r="AF14" s="71">
        <v>2</v>
      </c>
      <c r="AG14" s="101">
        <v>3800000</v>
      </c>
      <c r="AH14" s="71">
        <v>3.5</v>
      </c>
      <c r="AI14" s="69">
        <v>253966</v>
      </c>
      <c r="AJ14" s="111">
        <f>277+57</f>
        <v>334</v>
      </c>
      <c r="AK14" s="69">
        <v>354770</v>
      </c>
      <c r="AL14" s="69">
        <v>21521.8</v>
      </c>
      <c r="AM14" s="69">
        <v>119885.2</v>
      </c>
      <c r="AN14" s="74">
        <f>AM14/AK14</f>
        <v>0.33792372523043096</v>
      </c>
      <c r="AO14" s="74">
        <v>0.3</v>
      </c>
      <c r="AP14" s="167">
        <f t="shared" si="25"/>
        <v>0</v>
      </c>
      <c r="AQ14" s="74" t="s">
        <v>1640</v>
      </c>
      <c r="AR14" s="253">
        <f t="shared" si="48"/>
        <v>1</v>
      </c>
      <c r="AS14" s="101">
        <v>2000000</v>
      </c>
      <c r="AT14" s="72">
        <v>900000</v>
      </c>
      <c r="AU14" s="72">
        <v>1300000</v>
      </c>
      <c r="AV14" s="73">
        <f t="shared" ref="AV14:AV23" si="55">AS14/AT14</f>
        <v>2.2222222222222223</v>
      </c>
      <c r="AW14" s="112">
        <f t="shared" si="7"/>
        <v>150.17520440513934</v>
      </c>
      <c r="AX14" s="101">
        <f t="shared" si="49"/>
        <v>7324.7777777777774</v>
      </c>
      <c r="AY14" s="112" t="str">
        <f t="shared" si="9"/>
        <v>Fullsized</v>
      </c>
      <c r="AZ14" s="167">
        <f t="shared" si="26"/>
        <v>2</v>
      </c>
      <c r="BA14" s="176">
        <f t="shared" si="10"/>
        <v>1744000</v>
      </c>
      <c r="BB14" s="414">
        <f t="shared" si="11"/>
        <v>0.872</v>
      </c>
      <c r="BC14" s="167">
        <f t="shared" si="27"/>
        <v>1</v>
      </c>
      <c r="BD14" s="112">
        <f t="shared" si="12"/>
        <v>2012</v>
      </c>
      <c r="BE14" s="111">
        <v>1942</v>
      </c>
      <c r="BF14" s="71">
        <v>5</v>
      </c>
      <c r="BG14" s="214">
        <v>6</v>
      </c>
      <c r="BH14" s="79">
        <f>39.6*4</f>
        <v>158.4</v>
      </c>
      <c r="BI14" s="152">
        <v>2007</v>
      </c>
      <c r="BJ14" s="167">
        <f t="shared" si="28"/>
        <v>1</v>
      </c>
      <c r="BK14" s="68">
        <f t="shared" si="13"/>
        <v>5.4015345268542203E-3</v>
      </c>
      <c r="BL14" s="167">
        <f t="shared" si="29"/>
        <v>0</v>
      </c>
      <c r="BM14" s="81">
        <f t="shared" si="14"/>
        <v>5993</v>
      </c>
      <c r="BN14" s="71">
        <v>2351</v>
      </c>
      <c r="BO14" s="111">
        <v>97</v>
      </c>
      <c r="BP14" s="74">
        <f t="shared" si="50"/>
        <v>0.96037581699346408</v>
      </c>
      <c r="BQ14" s="83">
        <v>11510813</v>
      </c>
      <c r="BR14" s="83">
        <v>233544</v>
      </c>
      <c r="BS14" s="83">
        <v>5078928</v>
      </c>
      <c r="BT14" s="153">
        <f>BS14/BQ14</f>
        <v>0.44123104076141278</v>
      </c>
      <c r="BU14" s="167">
        <f t="shared" si="30"/>
        <v>2</v>
      </c>
      <c r="BV14" s="83">
        <v>3716717</v>
      </c>
      <c r="BW14" s="173">
        <v>255797</v>
      </c>
      <c r="BX14" s="173">
        <f t="shared" si="31"/>
        <v>1518.266748366013</v>
      </c>
      <c r="BY14" s="173">
        <f t="shared" si="32"/>
        <v>104.4922385620915</v>
      </c>
      <c r="BZ14" s="464">
        <f t="shared" si="33"/>
        <v>0.62020700505147586</v>
      </c>
      <c r="CA14" s="167">
        <f t="shared" si="34"/>
        <v>5</v>
      </c>
      <c r="CB14" s="173">
        <v>266546</v>
      </c>
      <c r="CC14" s="83">
        <v>1406177</v>
      </c>
      <c r="CD14" s="83">
        <v>835881</v>
      </c>
      <c r="CE14" s="83">
        <v>1069425</v>
      </c>
      <c r="CF14" s="173">
        <v>286523</v>
      </c>
      <c r="CG14" s="83">
        <v>954514</v>
      </c>
      <c r="CH14" s="83">
        <v>1406177</v>
      </c>
      <c r="CI14" s="83">
        <f t="shared" si="51"/>
        <v>451663</v>
      </c>
      <c r="CJ14" s="153">
        <f t="shared" si="52"/>
        <v>0.4731863545217776</v>
      </c>
      <c r="CK14" s="84">
        <f t="shared" si="53"/>
        <v>1.6822693660939776</v>
      </c>
      <c r="CL14" s="84">
        <f t="shared" si="54"/>
        <v>0.78161722420927138</v>
      </c>
      <c r="CM14" s="84">
        <f t="shared" si="17"/>
        <v>1</v>
      </c>
      <c r="CN14" s="170">
        <f t="shared" si="18"/>
        <v>178.4456866344068</v>
      </c>
      <c r="CO14" s="167">
        <f t="shared" si="19"/>
        <v>3</v>
      </c>
      <c r="CP14" s="84">
        <f t="shared" si="43"/>
        <v>1.9006521418847062</v>
      </c>
      <c r="CQ14" s="167">
        <f t="shared" si="44"/>
        <v>2</v>
      </c>
      <c r="CR14" s="173">
        <v>266546</v>
      </c>
      <c r="CS14" s="83">
        <v>0</v>
      </c>
      <c r="CT14" s="83">
        <v>0</v>
      </c>
      <c r="CU14" s="76">
        <f>448944/954514</f>
        <v>0.47033778446413566</v>
      </c>
      <c r="CV14" s="76">
        <f>336437/954514</f>
        <v>0.35246942423055083</v>
      </c>
      <c r="CW14" s="76">
        <f>26382/954514</f>
        <v>2.7639196491617724E-2</v>
      </c>
      <c r="CX14" s="76">
        <f>142751/954514</f>
        <v>0.14955359481369576</v>
      </c>
      <c r="CY14" s="57"/>
      <c r="CZ14" s="111">
        <v>2012</v>
      </c>
      <c r="DA14" s="111"/>
      <c r="DB14" s="213">
        <f t="shared" si="37"/>
        <v>5</v>
      </c>
      <c r="DC14" s="215">
        <f t="shared" si="22"/>
        <v>37</v>
      </c>
      <c r="DD14" s="409" t="str">
        <f t="shared" si="38"/>
        <v>C</v>
      </c>
      <c r="DE14" s="511" t="s">
        <v>3078</v>
      </c>
      <c r="DF14" s="242" t="s">
        <v>3083</v>
      </c>
      <c r="DG14" s="240" t="s">
        <v>3091</v>
      </c>
      <c r="DH14" s="99" t="s">
        <v>122</v>
      </c>
      <c r="DI14" s="100" t="s">
        <v>3137</v>
      </c>
      <c r="DJ14" s="100" t="s">
        <v>841</v>
      </c>
      <c r="DK14" s="100" t="s">
        <v>55</v>
      </c>
      <c r="DL14" s="100" t="s">
        <v>235</v>
      </c>
      <c r="DM14" s="374">
        <v>4769</v>
      </c>
      <c r="DN14" s="100" t="s">
        <v>842</v>
      </c>
      <c r="DO14" s="376" t="s">
        <v>843</v>
      </c>
    </row>
    <row r="15" spans="1:119" s="164" customFormat="1" ht="28">
      <c r="A15" s="161" t="s">
        <v>1973</v>
      </c>
      <c r="B15" s="111" t="s">
        <v>904</v>
      </c>
      <c r="C15" s="111" t="s">
        <v>903</v>
      </c>
      <c r="D15" s="391">
        <v>2011</v>
      </c>
      <c r="E15" s="112">
        <v>2009</v>
      </c>
      <c r="F15" s="112">
        <v>2010</v>
      </c>
      <c r="G15" s="112">
        <v>2008</v>
      </c>
      <c r="H15" s="111" t="s">
        <v>905</v>
      </c>
      <c r="I15" s="111">
        <v>577</v>
      </c>
      <c r="J15" s="81">
        <v>200</v>
      </c>
      <c r="K15" s="68">
        <f t="shared" si="0"/>
        <v>0.34662045060658581</v>
      </c>
      <c r="L15" s="167">
        <f t="shared" si="23"/>
        <v>1</v>
      </c>
      <c r="M15" s="83">
        <v>25125</v>
      </c>
      <c r="N15" s="123">
        <f>M15/Benchmark!$C$5</f>
        <v>0.6746777658431794</v>
      </c>
      <c r="O15" s="155">
        <f t="shared" si="46"/>
        <v>2</v>
      </c>
      <c r="P15" s="68">
        <v>0.48299999999999998</v>
      </c>
      <c r="Q15" s="253">
        <f t="shared" si="47"/>
        <v>3</v>
      </c>
      <c r="R15" s="130">
        <f t="shared" si="3"/>
        <v>2011</v>
      </c>
      <c r="S15" s="71">
        <v>0</v>
      </c>
      <c r="T15" s="71" t="s">
        <v>1972</v>
      </c>
      <c r="U15" s="74">
        <v>1</v>
      </c>
      <c r="V15" s="167">
        <f t="shared" si="24"/>
        <v>4</v>
      </c>
      <c r="W15" s="74" t="s">
        <v>2917</v>
      </c>
      <c r="X15" s="101">
        <v>32</v>
      </c>
      <c r="Y15" s="112" t="s">
        <v>2910</v>
      </c>
      <c r="Z15" s="130">
        <f t="shared" si="4"/>
        <v>2009</v>
      </c>
      <c r="AA15" s="168" t="s">
        <v>1659</v>
      </c>
      <c r="AB15" s="74" t="s">
        <v>1659</v>
      </c>
      <c r="AC15" s="112">
        <f t="shared" si="5"/>
        <v>2010</v>
      </c>
      <c r="AD15" s="71">
        <v>0</v>
      </c>
      <c r="AE15" s="71">
        <v>0</v>
      </c>
      <c r="AF15" s="71">
        <v>1</v>
      </c>
      <c r="AG15" s="101">
        <v>39000</v>
      </c>
      <c r="AH15" s="72">
        <v>10</v>
      </c>
      <c r="AI15" s="69">
        <v>5500</v>
      </c>
      <c r="AJ15" s="69">
        <v>7</v>
      </c>
      <c r="AK15" s="69">
        <v>4076</v>
      </c>
      <c r="AL15" s="71" t="s">
        <v>1659</v>
      </c>
      <c r="AM15" s="71" t="s">
        <v>1659</v>
      </c>
      <c r="AN15" s="74" t="s">
        <v>1659</v>
      </c>
      <c r="AO15" s="74" t="s">
        <v>1659</v>
      </c>
      <c r="AP15" s="167">
        <f t="shared" si="25"/>
        <v>0</v>
      </c>
      <c r="AQ15" s="165" t="s">
        <v>1639</v>
      </c>
      <c r="AR15" s="253">
        <f t="shared" si="48"/>
        <v>5</v>
      </c>
      <c r="AS15" s="101">
        <v>47000</v>
      </c>
      <c r="AT15" s="72">
        <v>12000</v>
      </c>
      <c r="AU15" s="72">
        <v>13000</v>
      </c>
      <c r="AV15" s="73">
        <f t="shared" si="55"/>
        <v>3.9166666666666665</v>
      </c>
      <c r="AW15" s="112">
        <f t="shared" si="7"/>
        <v>60</v>
      </c>
      <c r="AX15" s="101">
        <f t="shared" si="49"/>
        <v>583.33333333333337</v>
      </c>
      <c r="AY15" s="112" t="str">
        <f t="shared" si="9"/>
        <v>Large Sized</v>
      </c>
      <c r="AZ15" s="167">
        <f t="shared" si="26"/>
        <v>4</v>
      </c>
      <c r="BA15" s="176">
        <f t="shared" si="10"/>
        <v>-920</v>
      </c>
      <c r="BB15" s="414">
        <f t="shared" si="11"/>
        <v>-1.9574468085106381E-2</v>
      </c>
      <c r="BC15" s="167">
        <f t="shared" si="27"/>
        <v>0</v>
      </c>
      <c r="BD15" s="112">
        <f t="shared" si="12"/>
        <v>2008</v>
      </c>
      <c r="BE15" s="111">
        <v>1989</v>
      </c>
      <c r="BF15" s="71" t="s">
        <v>1659</v>
      </c>
      <c r="BG15" s="214">
        <v>1</v>
      </c>
      <c r="BH15" s="79">
        <v>336</v>
      </c>
      <c r="BI15" s="152">
        <v>2007</v>
      </c>
      <c r="BJ15" s="167">
        <f t="shared" si="28"/>
        <v>1</v>
      </c>
      <c r="BK15" s="68">
        <f t="shared" si="13"/>
        <v>1.3373134328358209E-2</v>
      </c>
      <c r="BL15" s="167">
        <f t="shared" si="29"/>
        <v>2</v>
      </c>
      <c r="BM15" s="81">
        <f t="shared" si="14"/>
        <v>200</v>
      </c>
      <c r="BN15" s="71">
        <v>80</v>
      </c>
      <c r="BO15" s="111">
        <v>0</v>
      </c>
      <c r="BP15" s="74">
        <f t="shared" si="50"/>
        <v>1</v>
      </c>
      <c r="BQ15" s="83">
        <v>500152</v>
      </c>
      <c r="BR15" s="83">
        <v>5609</v>
      </c>
      <c r="BS15" s="83">
        <v>91525</v>
      </c>
      <c r="BT15" s="153">
        <f>BS15/BQ15</f>
        <v>0.18299436971160768</v>
      </c>
      <c r="BU15" s="167">
        <f t="shared" si="30"/>
        <v>5</v>
      </c>
      <c r="BV15" s="458">
        <v>0</v>
      </c>
      <c r="BW15" s="459"/>
      <c r="BX15" s="460">
        <f t="shared" si="31"/>
        <v>0</v>
      </c>
      <c r="BY15" s="460">
        <f t="shared" si="32"/>
        <v>0</v>
      </c>
      <c r="BZ15" s="464">
        <f t="shared" si="33"/>
        <v>0</v>
      </c>
      <c r="CA15" s="167">
        <f t="shared" si="34"/>
        <v>5</v>
      </c>
      <c r="CB15" s="173">
        <v>71019</v>
      </c>
      <c r="CC15" s="83">
        <v>42512</v>
      </c>
      <c r="CD15" s="83">
        <v>27342</v>
      </c>
      <c r="CE15" s="83">
        <v>30139</v>
      </c>
      <c r="CF15" s="173">
        <v>9581</v>
      </c>
      <c r="CG15" s="83">
        <v>29112</v>
      </c>
      <c r="CH15" s="83">
        <v>42512</v>
      </c>
      <c r="CI15" s="83">
        <f t="shared" si="51"/>
        <v>13400</v>
      </c>
      <c r="CJ15" s="153">
        <f t="shared" si="52"/>
        <v>0.46029128881560866</v>
      </c>
      <c r="CK15" s="84">
        <f t="shared" si="53"/>
        <v>1.5548240801697022</v>
      </c>
      <c r="CL15" s="84">
        <f t="shared" si="54"/>
        <v>0.90719665549620099</v>
      </c>
      <c r="CM15" s="84">
        <f t="shared" si="17"/>
        <v>1</v>
      </c>
      <c r="CN15" s="170">
        <f t="shared" si="18"/>
        <v>150.69499999999999</v>
      </c>
      <c r="CO15" s="167">
        <f t="shared" si="19"/>
        <v>4</v>
      </c>
      <c r="CP15" s="84">
        <f t="shared" si="43"/>
        <v>1.647627424673501</v>
      </c>
      <c r="CQ15" s="167">
        <f t="shared" si="44"/>
        <v>2</v>
      </c>
      <c r="CR15" s="173">
        <v>71019</v>
      </c>
      <c r="CS15" s="83">
        <v>0</v>
      </c>
      <c r="CT15" s="83">
        <v>0</v>
      </c>
      <c r="CU15" s="76">
        <f>8791/29112</f>
        <v>0.30197169552074749</v>
      </c>
      <c r="CV15" s="76">
        <f>12593/29112</f>
        <v>0.43257076119813137</v>
      </c>
      <c r="CW15" s="76">
        <v>0</v>
      </c>
      <c r="CX15" s="76">
        <f>7728/29112</f>
        <v>0.2654575432811212</v>
      </c>
      <c r="CY15" s="290">
        <v>2010</v>
      </c>
      <c r="CZ15" s="290">
        <v>2010</v>
      </c>
      <c r="DA15" s="111"/>
      <c r="DB15" s="213">
        <f t="shared" si="37"/>
        <v>5</v>
      </c>
      <c r="DC15" s="215">
        <f t="shared" si="22"/>
        <v>43</v>
      </c>
      <c r="DD15" s="409" t="str">
        <f t="shared" si="38"/>
        <v>B</v>
      </c>
      <c r="DE15" s="511" t="s">
        <v>3079</v>
      </c>
      <c r="DF15" s="242" t="s">
        <v>2807</v>
      </c>
      <c r="DG15" s="240" t="s">
        <v>3092</v>
      </c>
      <c r="DH15" s="99" t="s">
        <v>128</v>
      </c>
      <c r="DI15" s="100" t="s">
        <v>3140</v>
      </c>
      <c r="DJ15" s="100" t="s">
        <v>907</v>
      </c>
      <c r="DK15" s="100" t="s">
        <v>905</v>
      </c>
      <c r="DL15" s="100" t="s">
        <v>235</v>
      </c>
      <c r="DM15" s="374">
        <v>4774</v>
      </c>
      <c r="DN15" s="100" t="s">
        <v>909</v>
      </c>
      <c r="DO15" s="376" t="s">
        <v>910</v>
      </c>
    </row>
    <row r="16" spans="1:119" s="164" customFormat="1" ht="42">
      <c r="A16" s="161" t="s">
        <v>1973</v>
      </c>
      <c r="B16" s="111" t="s">
        <v>1025</v>
      </c>
      <c r="C16" s="111" t="s">
        <v>1024</v>
      </c>
      <c r="D16" s="391">
        <v>2003</v>
      </c>
      <c r="E16" s="112" t="s">
        <v>1659</v>
      </c>
      <c r="F16" s="112">
        <v>2011</v>
      </c>
      <c r="G16" s="112">
        <v>2012</v>
      </c>
      <c r="H16" s="111" t="s">
        <v>145</v>
      </c>
      <c r="I16" s="111">
        <v>2631</v>
      </c>
      <c r="J16" s="81">
        <v>2213</v>
      </c>
      <c r="K16" s="68">
        <f t="shared" si="0"/>
        <v>0.84112504751045225</v>
      </c>
      <c r="L16" s="167">
        <f t="shared" si="23"/>
        <v>5</v>
      </c>
      <c r="M16" s="83">
        <v>20038</v>
      </c>
      <c r="N16" s="123">
        <f>M16/Benchmark!$C$5</f>
        <v>0.53807733619763698</v>
      </c>
      <c r="O16" s="155">
        <f t="shared" si="46"/>
        <v>1</v>
      </c>
      <c r="P16" s="68">
        <v>0.58699999999999997</v>
      </c>
      <c r="Q16" s="253">
        <f t="shared" si="47"/>
        <v>2</v>
      </c>
      <c r="R16" s="130">
        <f t="shared" si="3"/>
        <v>2003</v>
      </c>
      <c r="S16" s="71">
        <v>0</v>
      </c>
      <c r="T16" s="71" t="s">
        <v>1972</v>
      </c>
      <c r="U16" s="74">
        <v>1</v>
      </c>
      <c r="V16" s="167">
        <f t="shared" si="24"/>
        <v>4</v>
      </c>
      <c r="W16" s="74" t="s">
        <v>2904</v>
      </c>
      <c r="X16" s="101">
        <v>1920</v>
      </c>
      <c r="Y16" s="112" t="s">
        <v>2910</v>
      </c>
      <c r="Z16" s="130" t="str">
        <f t="shared" si="4"/>
        <v>-</v>
      </c>
      <c r="AA16" s="168" t="s">
        <v>1659</v>
      </c>
      <c r="AB16" s="168" t="s">
        <v>1659</v>
      </c>
      <c r="AC16" s="112">
        <f t="shared" si="5"/>
        <v>2011</v>
      </c>
      <c r="AD16" s="71">
        <v>1</v>
      </c>
      <c r="AE16" s="71">
        <v>2</v>
      </c>
      <c r="AF16" s="71">
        <v>0</v>
      </c>
      <c r="AG16" s="101">
        <f>500000+1100000</f>
        <v>1600000</v>
      </c>
      <c r="AH16" s="71">
        <v>6</v>
      </c>
      <c r="AI16" s="69">
        <v>89351</v>
      </c>
      <c r="AJ16" s="111">
        <v>96</v>
      </c>
      <c r="AK16" s="69">
        <v>89856</v>
      </c>
      <c r="AL16" s="71" t="s">
        <v>1659</v>
      </c>
      <c r="AM16" s="71" t="s">
        <v>1659</v>
      </c>
      <c r="AN16" s="74" t="s">
        <v>2801</v>
      </c>
      <c r="AO16" s="74">
        <v>0.26</v>
      </c>
      <c r="AP16" s="167">
        <f>IF(AO16&lt;12%,5,IF(AO16&lt;18%,4,IF(AO16&lt;23%,2,IF(AO16&gt;22%,0))))</f>
        <v>0</v>
      </c>
      <c r="AQ16" s="165" t="s">
        <v>1639</v>
      </c>
      <c r="AR16" s="253">
        <f t="shared" si="48"/>
        <v>5</v>
      </c>
      <c r="AS16" s="101">
        <v>648000</v>
      </c>
      <c r="AT16" s="72">
        <v>250000</v>
      </c>
      <c r="AU16" s="72">
        <v>650000</v>
      </c>
      <c r="AV16" s="73">
        <f t="shared" si="55"/>
        <v>2.5920000000000001</v>
      </c>
      <c r="AW16" s="112">
        <f t="shared" si="7"/>
        <v>112.96882060551287</v>
      </c>
      <c r="AX16" s="101">
        <f t="shared" si="49"/>
        <v>3523.096</v>
      </c>
      <c r="AY16" s="112" t="str">
        <f t="shared" si="9"/>
        <v>Fullsized</v>
      </c>
      <c r="AZ16" s="167">
        <f t="shared" si="26"/>
        <v>2</v>
      </c>
      <c r="BA16" s="176">
        <f t="shared" si="10"/>
        <v>2116800</v>
      </c>
      <c r="BB16" s="414">
        <f t="shared" si="11"/>
        <v>3.2666666666666666</v>
      </c>
      <c r="BC16" s="167">
        <f t="shared" si="27"/>
        <v>3</v>
      </c>
      <c r="BD16" s="112">
        <f t="shared" si="12"/>
        <v>2012</v>
      </c>
      <c r="BE16" s="111">
        <v>1905</v>
      </c>
      <c r="BF16" s="71">
        <v>1</v>
      </c>
      <c r="BG16" s="214">
        <v>3</v>
      </c>
      <c r="BH16" s="79">
        <f>50*4</f>
        <v>200</v>
      </c>
      <c r="BI16" s="152">
        <v>2006</v>
      </c>
      <c r="BJ16" s="167">
        <f t="shared" si="28"/>
        <v>1</v>
      </c>
      <c r="BK16" s="68">
        <f t="shared" si="13"/>
        <v>9.9810360315400731E-3</v>
      </c>
      <c r="BL16" s="167">
        <f t="shared" si="29"/>
        <v>2</v>
      </c>
      <c r="BM16" s="81">
        <f t="shared" si="14"/>
        <v>2213</v>
      </c>
      <c r="BN16" s="71">
        <v>932</v>
      </c>
      <c r="BO16" s="111">
        <v>18</v>
      </c>
      <c r="BP16" s="74">
        <f t="shared" si="50"/>
        <v>0.9810526315789474</v>
      </c>
      <c r="BQ16" s="83">
        <v>2994495</v>
      </c>
      <c r="BR16" s="83">
        <v>41877</v>
      </c>
      <c r="BS16" s="83">
        <v>2069600</v>
      </c>
      <c r="BT16" s="153">
        <f>BS16/BQ16</f>
        <v>0.69113489920671101</v>
      </c>
      <c r="BU16" s="167">
        <f t="shared" si="30"/>
        <v>0</v>
      </c>
      <c r="BV16" s="83">
        <v>198121</v>
      </c>
      <c r="BW16" s="173">
        <v>48805</v>
      </c>
      <c r="BX16" s="173">
        <f t="shared" si="31"/>
        <v>208.54842105263157</v>
      </c>
      <c r="BY16" s="173">
        <f t="shared" si="32"/>
        <v>51.373684210526314</v>
      </c>
      <c r="BZ16" s="464">
        <f t="shared" si="33"/>
        <v>0.21952465373961216</v>
      </c>
      <c r="CA16" s="167">
        <f t="shared" si="34"/>
        <v>5</v>
      </c>
      <c r="CB16" s="173">
        <v>-64924</v>
      </c>
      <c r="CC16" s="83">
        <v>490184</v>
      </c>
      <c r="CD16" s="83">
        <v>414501</v>
      </c>
      <c r="CE16" s="83">
        <v>470360</v>
      </c>
      <c r="CF16" s="173">
        <v>9910</v>
      </c>
      <c r="CG16" s="83">
        <v>323430</v>
      </c>
      <c r="CH16" s="83">
        <v>484278</v>
      </c>
      <c r="CI16" s="83">
        <f t="shared" si="51"/>
        <v>160848</v>
      </c>
      <c r="CJ16" s="153">
        <f t="shared" si="52"/>
        <v>0.49731935813004358</v>
      </c>
      <c r="CK16" s="84">
        <f t="shared" si="53"/>
        <v>1.1825882205350531</v>
      </c>
      <c r="CL16" s="84">
        <f t="shared" si="54"/>
        <v>0.88124202738328095</v>
      </c>
      <c r="CM16" s="84">
        <f t="shared" si="17"/>
        <v>0.98795146312405135</v>
      </c>
      <c r="CN16" s="170">
        <f t="shared" si="18"/>
        <v>212.54405784003615</v>
      </c>
      <c r="CO16" s="167">
        <f t="shared" si="19"/>
        <v>3</v>
      </c>
      <c r="CP16" s="84">
        <f t="shared" si="43"/>
        <v>1.2892976562758234</v>
      </c>
      <c r="CQ16" s="167">
        <f t="shared" si="44"/>
        <v>2</v>
      </c>
      <c r="CR16" s="173">
        <v>-64924</v>
      </c>
      <c r="CS16" s="83">
        <v>0</v>
      </c>
      <c r="CT16" s="83">
        <v>0</v>
      </c>
      <c r="CU16" s="76">
        <f>265211/323430</f>
        <v>0.81999505302538411</v>
      </c>
      <c r="CV16" s="76">
        <f>51825/323430</f>
        <v>0.16023559966607923</v>
      </c>
      <c r="CW16" s="76">
        <v>0</v>
      </c>
      <c r="CX16" s="76">
        <f>6394/323430</f>
        <v>1.9769347308536623E-2</v>
      </c>
      <c r="CY16" s="111">
        <v>1990</v>
      </c>
      <c r="CZ16" s="111">
        <v>1988</v>
      </c>
      <c r="DA16" s="111"/>
      <c r="DB16" s="213">
        <f t="shared" si="37"/>
        <v>0</v>
      </c>
      <c r="DC16" s="215">
        <f t="shared" si="22"/>
        <v>35</v>
      </c>
      <c r="DD16" s="409" t="str">
        <f t="shared" si="38"/>
        <v>D</v>
      </c>
      <c r="DE16" s="171"/>
      <c r="DF16" s="242" t="s">
        <v>2959</v>
      </c>
      <c r="DG16" s="244" t="s">
        <v>3093</v>
      </c>
      <c r="DH16" s="99" t="s">
        <v>3141</v>
      </c>
      <c r="DI16" s="100" t="s">
        <v>3142</v>
      </c>
      <c r="DJ16" s="100" t="s">
        <v>1027</v>
      </c>
      <c r="DK16" s="100" t="s">
        <v>145</v>
      </c>
      <c r="DL16" s="100" t="s">
        <v>235</v>
      </c>
      <c r="DM16" s="374">
        <v>4785</v>
      </c>
      <c r="DN16" s="100" t="s">
        <v>1028</v>
      </c>
      <c r="DO16" s="376" t="s">
        <v>1029</v>
      </c>
    </row>
    <row r="17" spans="1:119" s="164" customFormat="1" ht="43" thickBot="1">
      <c r="A17" s="435" t="s">
        <v>1973</v>
      </c>
      <c r="B17" s="436" t="s">
        <v>1031</v>
      </c>
      <c r="C17" s="436" t="s">
        <v>1030</v>
      </c>
      <c r="D17" s="437">
        <v>2003</v>
      </c>
      <c r="E17" s="395">
        <v>2005</v>
      </c>
      <c r="F17" s="395">
        <v>2011</v>
      </c>
      <c r="G17" s="395">
        <v>2012</v>
      </c>
      <c r="H17" s="436" t="s">
        <v>153</v>
      </c>
      <c r="I17" s="436">
        <v>1627</v>
      </c>
      <c r="J17" s="277">
        <v>768</v>
      </c>
      <c r="K17" s="396">
        <f t="shared" si="0"/>
        <v>0.47203441917639827</v>
      </c>
      <c r="L17" s="397">
        <f t="shared" si="23"/>
        <v>2</v>
      </c>
      <c r="M17" s="438">
        <v>30338</v>
      </c>
      <c r="N17" s="399">
        <f>M17/Benchmark!$C$5</f>
        <v>0.81466165413533831</v>
      </c>
      <c r="O17" s="400">
        <f t="shared" si="46"/>
        <v>4</v>
      </c>
      <c r="P17" s="396">
        <v>0.443</v>
      </c>
      <c r="Q17" s="401">
        <f t="shared" si="47"/>
        <v>4</v>
      </c>
      <c r="R17" s="439">
        <f t="shared" si="3"/>
        <v>2003</v>
      </c>
      <c r="S17" s="279" t="s">
        <v>2815</v>
      </c>
      <c r="T17" s="279" t="s">
        <v>2810</v>
      </c>
      <c r="U17" s="440">
        <v>0.3</v>
      </c>
      <c r="V17" s="397">
        <f t="shared" si="24"/>
        <v>1</v>
      </c>
      <c r="W17" s="440" t="s">
        <v>2917</v>
      </c>
      <c r="X17" s="441">
        <v>320</v>
      </c>
      <c r="Y17" s="395" t="s">
        <v>2910</v>
      </c>
      <c r="Z17" s="439">
        <f t="shared" si="4"/>
        <v>2005</v>
      </c>
      <c r="AA17" s="440" t="s">
        <v>1640</v>
      </c>
      <c r="AB17" s="440" t="s">
        <v>1640</v>
      </c>
      <c r="AC17" s="395">
        <f t="shared" si="5"/>
        <v>2011</v>
      </c>
      <c r="AD17" s="279">
        <v>2</v>
      </c>
      <c r="AE17" s="279">
        <v>2</v>
      </c>
      <c r="AF17" s="279">
        <v>0</v>
      </c>
      <c r="AG17" s="441">
        <v>750000</v>
      </c>
      <c r="AH17" s="279">
        <v>4</v>
      </c>
      <c r="AI17" s="442">
        <v>31315</v>
      </c>
      <c r="AJ17" s="277">
        <v>44</v>
      </c>
      <c r="AK17" s="442">
        <v>33699</v>
      </c>
      <c r="AL17" s="442">
        <v>2460</v>
      </c>
      <c r="AM17" s="442">
        <v>18394</v>
      </c>
      <c r="AN17" s="440">
        <f>AM17/AK17</f>
        <v>0.54583222054066882</v>
      </c>
      <c r="AO17" s="440">
        <v>0.48</v>
      </c>
      <c r="AP17" s="397">
        <f t="shared" si="25"/>
        <v>0</v>
      </c>
      <c r="AQ17" s="440" t="s">
        <v>1659</v>
      </c>
      <c r="AR17" s="401">
        <f t="shared" si="48"/>
        <v>0</v>
      </c>
      <c r="AS17" s="441">
        <v>232000</v>
      </c>
      <c r="AT17" s="443">
        <v>185000</v>
      </c>
      <c r="AU17" s="443">
        <v>232000</v>
      </c>
      <c r="AV17" s="444">
        <f t="shared" si="55"/>
        <v>1.2540540540540541</v>
      </c>
      <c r="AW17" s="395">
        <f t="shared" si="7"/>
        <v>240.88541666666666</v>
      </c>
      <c r="AX17" s="441">
        <f t="shared" si="49"/>
        <v>195.11351351351351</v>
      </c>
      <c r="AY17" s="395" t="str">
        <f t="shared" si="9"/>
        <v>Undersized</v>
      </c>
      <c r="AZ17" s="397">
        <f t="shared" si="26"/>
        <v>0</v>
      </c>
      <c r="BA17" s="445">
        <f t="shared" si="10"/>
        <v>228800</v>
      </c>
      <c r="BB17" s="446">
        <f t="shared" si="11"/>
        <v>0.98620689655172411</v>
      </c>
      <c r="BC17" s="397">
        <f t="shared" si="27"/>
        <v>1</v>
      </c>
      <c r="BD17" s="395">
        <f t="shared" si="12"/>
        <v>2012</v>
      </c>
      <c r="BE17" s="436">
        <v>1907</v>
      </c>
      <c r="BF17" s="279">
        <v>0</v>
      </c>
      <c r="BG17" s="447">
        <v>1</v>
      </c>
      <c r="BH17" s="448">
        <f>92.05*4</f>
        <v>368.2</v>
      </c>
      <c r="BI17" s="394">
        <v>2007</v>
      </c>
      <c r="BJ17" s="397">
        <f t="shared" si="28"/>
        <v>1</v>
      </c>
      <c r="BK17" s="396">
        <f t="shared" si="13"/>
        <v>1.2136594370096909E-2</v>
      </c>
      <c r="BL17" s="397">
        <f t="shared" si="29"/>
        <v>2</v>
      </c>
      <c r="BM17" s="277">
        <f t="shared" si="14"/>
        <v>768</v>
      </c>
      <c r="BN17" s="279">
        <v>273</v>
      </c>
      <c r="BO17" s="436">
        <v>0</v>
      </c>
      <c r="BP17" s="440">
        <f t="shared" si="50"/>
        <v>1</v>
      </c>
      <c r="BQ17" s="438">
        <v>2101794</v>
      </c>
      <c r="BR17" s="438">
        <v>49477</v>
      </c>
      <c r="BS17" s="438">
        <v>747822</v>
      </c>
      <c r="BT17" s="449">
        <f>BS17/BQ17</f>
        <v>0.35580175792679969</v>
      </c>
      <c r="BU17" s="397">
        <f t="shared" si="30"/>
        <v>3</v>
      </c>
      <c r="BV17" s="438">
        <v>128759</v>
      </c>
      <c r="BW17" s="450">
        <v>17358</v>
      </c>
      <c r="BX17" s="450">
        <f t="shared" si="31"/>
        <v>471.64468864468864</v>
      </c>
      <c r="BY17" s="450">
        <f t="shared" si="32"/>
        <v>63.582417582417584</v>
      </c>
      <c r="BZ17" s="465">
        <f t="shared" si="33"/>
        <v>1.7276362221417167</v>
      </c>
      <c r="CA17" s="397">
        <f t="shared" si="34"/>
        <v>4</v>
      </c>
      <c r="CB17" s="450">
        <v>352896</v>
      </c>
      <c r="CC17" s="438">
        <v>199026</v>
      </c>
      <c r="CD17" s="438">
        <v>167252</v>
      </c>
      <c r="CE17" s="438">
        <v>216729</v>
      </c>
      <c r="CF17" s="450">
        <v>382</v>
      </c>
      <c r="CG17" s="438">
        <v>133208</v>
      </c>
      <c r="CH17" s="438">
        <v>191564</v>
      </c>
      <c r="CI17" s="438">
        <f t="shared" si="51"/>
        <v>58356</v>
      </c>
      <c r="CJ17" s="449">
        <f t="shared" si="52"/>
        <v>0.43808179688907573</v>
      </c>
      <c r="CK17" s="451">
        <f t="shared" si="53"/>
        <v>1.1899768014732259</v>
      </c>
      <c r="CL17" s="451">
        <f t="shared" si="54"/>
        <v>0.77171029257736623</v>
      </c>
      <c r="CM17" s="451">
        <f t="shared" si="17"/>
        <v>0.96250741109201809</v>
      </c>
      <c r="CN17" s="452">
        <f t="shared" si="18"/>
        <v>282.19921875</v>
      </c>
      <c r="CO17" s="397">
        <f t="shared" si="19"/>
        <v>2</v>
      </c>
      <c r="CP17" s="451">
        <f t="shared" si="43"/>
        <v>1.3807739199878777</v>
      </c>
      <c r="CQ17" s="397">
        <f t="shared" si="44"/>
        <v>2</v>
      </c>
      <c r="CR17" s="450">
        <v>352896</v>
      </c>
      <c r="CS17" s="438">
        <v>0</v>
      </c>
      <c r="CT17" s="438">
        <v>0</v>
      </c>
      <c r="CU17" s="453">
        <f>128414/133208</f>
        <v>0.9640111705002703</v>
      </c>
      <c r="CV17" s="453">
        <f>4794/133208</f>
        <v>3.5988829499729744E-2</v>
      </c>
      <c r="CW17" s="453">
        <v>0</v>
      </c>
      <c r="CX17" s="436">
        <v>0</v>
      </c>
      <c r="CY17" s="279"/>
      <c r="CZ17" s="436">
        <v>2012</v>
      </c>
      <c r="DA17" s="436"/>
      <c r="DB17" s="454">
        <f t="shared" si="37"/>
        <v>5</v>
      </c>
      <c r="DC17" s="455">
        <f t="shared" si="22"/>
        <v>31</v>
      </c>
      <c r="DD17" s="409" t="str">
        <f t="shared" si="38"/>
        <v>F</v>
      </c>
      <c r="DE17" s="362"/>
      <c r="DF17" s="245" t="s">
        <v>2958</v>
      </c>
      <c r="DG17" s="246" t="s">
        <v>3094</v>
      </c>
      <c r="DH17" s="377" t="s">
        <v>150</v>
      </c>
      <c r="DI17" s="378" t="s">
        <v>3143</v>
      </c>
      <c r="DJ17" s="378" t="s">
        <v>1033</v>
      </c>
      <c r="DK17" s="378" t="s">
        <v>153</v>
      </c>
      <c r="DL17" s="378" t="s">
        <v>235</v>
      </c>
      <c r="DM17" s="379">
        <v>4786</v>
      </c>
      <c r="DN17" s="378" t="s">
        <v>1034</v>
      </c>
      <c r="DO17" s="456" t="s">
        <v>3148</v>
      </c>
    </row>
    <row r="18" spans="1:119" s="164" customFormat="1" ht="28">
      <c r="A18" s="161" t="s">
        <v>1971</v>
      </c>
      <c r="B18" s="111" t="s">
        <v>1114</v>
      </c>
      <c r="C18" s="111" t="s">
        <v>1113</v>
      </c>
      <c r="D18" s="391">
        <v>2003</v>
      </c>
      <c r="E18" s="152" t="s">
        <v>1662</v>
      </c>
      <c r="F18" s="112">
        <v>2010</v>
      </c>
      <c r="G18" s="112">
        <v>2011</v>
      </c>
      <c r="H18" s="111" t="s">
        <v>160</v>
      </c>
      <c r="I18" s="111">
        <v>1686</v>
      </c>
      <c r="J18" s="81">
        <f>722*2</f>
        <v>1444</v>
      </c>
      <c r="K18" s="68">
        <f t="shared" si="0"/>
        <v>0.85646500593119812</v>
      </c>
      <c r="L18" s="167">
        <f t="shared" si="23"/>
        <v>5</v>
      </c>
      <c r="M18" s="83">
        <v>31658</v>
      </c>
      <c r="N18" s="123">
        <f>M18/Benchmark!$C$5</f>
        <v>0.85010741138560686</v>
      </c>
      <c r="O18" s="167">
        <f t="shared" ref="O18:O25" si="56">IF(N18&gt;86%,5,IF(N18&gt;75%,4,IF(N18&gt;70%,3,IF(N18&gt;60%,2,IF(N18&gt;50%,1,0)))))</f>
        <v>4</v>
      </c>
      <c r="P18" s="68">
        <v>0.44600000000000001</v>
      </c>
      <c r="Q18" s="257">
        <f t="shared" ref="Q18:Q25" si="57">IF(P18&gt;67%,1,IF(P18&gt;56%, 2, IF(P18&gt;46%, 3, IF(P18&gt;36%, 4,0))))</f>
        <v>4</v>
      </c>
      <c r="R18" s="130">
        <f t="shared" si="3"/>
        <v>2003</v>
      </c>
      <c r="S18" s="71">
        <v>0</v>
      </c>
      <c r="T18" s="71" t="s">
        <v>1972</v>
      </c>
      <c r="U18" s="74">
        <v>1</v>
      </c>
      <c r="V18" s="167">
        <f t="shared" si="24"/>
        <v>4</v>
      </c>
      <c r="W18" s="74" t="s">
        <v>2904</v>
      </c>
      <c r="X18" s="101">
        <v>1300</v>
      </c>
      <c r="Y18" s="112" t="s">
        <v>2910</v>
      </c>
      <c r="Z18" s="130" t="str">
        <f t="shared" si="4"/>
        <v>None</v>
      </c>
      <c r="AA18" s="168" t="s">
        <v>1659</v>
      </c>
      <c r="AB18" s="168" t="s">
        <v>1659</v>
      </c>
      <c r="AC18" s="112">
        <f t="shared" si="5"/>
        <v>2010</v>
      </c>
      <c r="AD18" s="71">
        <v>5</v>
      </c>
      <c r="AE18" s="71">
        <v>5</v>
      </c>
      <c r="AF18" s="71">
        <v>0</v>
      </c>
      <c r="AG18" s="101">
        <v>1000000</v>
      </c>
      <c r="AH18" s="71">
        <v>1.5</v>
      </c>
      <c r="AI18" s="69">
        <v>107933</v>
      </c>
      <c r="AJ18" s="111">
        <v>105</v>
      </c>
      <c r="AK18" s="69">
        <v>112811</v>
      </c>
      <c r="AL18" s="69">
        <v>1630</v>
      </c>
      <c r="AM18" s="69">
        <v>11501</v>
      </c>
      <c r="AN18" s="74">
        <f>AM18/AK18</f>
        <v>0.10194927799594011</v>
      </c>
      <c r="AO18" s="74">
        <v>0.21</v>
      </c>
      <c r="AP18" s="167">
        <f t="shared" si="25"/>
        <v>5</v>
      </c>
      <c r="AQ18" s="165" t="s">
        <v>1639</v>
      </c>
      <c r="AR18" s="257">
        <f t="shared" ref="AR18:AR25" si="58">IF(AQ18= "No", 5,IF(AQ18="Yes",1,0))</f>
        <v>5</v>
      </c>
      <c r="AS18" s="101">
        <f>1500*60*12</f>
        <v>1080000</v>
      </c>
      <c r="AT18" s="72">
        <v>700000</v>
      </c>
      <c r="AU18" s="72">
        <v>900000</v>
      </c>
      <c r="AV18" s="73">
        <f t="shared" si="55"/>
        <v>1.5428571428571429</v>
      </c>
      <c r="AW18" s="112">
        <f t="shared" si="7"/>
        <v>484.76454293628808</v>
      </c>
      <c r="AX18" s="101">
        <f t="shared" si="49"/>
        <v>783.88571428571424</v>
      </c>
      <c r="AY18" s="112" t="str">
        <f t="shared" si="9"/>
        <v>Undersized</v>
      </c>
      <c r="AZ18" s="167">
        <f t="shared" si="26"/>
        <v>0</v>
      </c>
      <c r="BA18" s="176">
        <f t="shared" si="10"/>
        <v>792000</v>
      </c>
      <c r="BB18" s="414">
        <f t="shared" si="11"/>
        <v>0.73333333333333328</v>
      </c>
      <c r="BC18" s="167">
        <f t="shared" si="27"/>
        <v>1</v>
      </c>
      <c r="BD18" s="112">
        <f t="shared" si="12"/>
        <v>2011</v>
      </c>
      <c r="BE18" s="111">
        <v>1977</v>
      </c>
      <c r="BF18" s="71">
        <v>0</v>
      </c>
      <c r="BG18" s="263">
        <v>3</v>
      </c>
      <c r="BH18" s="79">
        <f>58.03*4</f>
        <v>232.12</v>
      </c>
      <c r="BI18" s="152">
        <v>2009</v>
      </c>
      <c r="BJ18" s="167">
        <f t="shared" si="28"/>
        <v>3</v>
      </c>
      <c r="BK18" s="68">
        <f t="shared" si="13"/>
        <v>7.332111946427443E-3</v>
      </c>
      <c r="BL18" s="167">
        <f t="shared" si="29"/>
        <v>1</v>
      </c>
      <c r="BM18" s="81">
        <f t="shared" si="14"/>
        <v>1444</v>
      </c>
      <c r="BN18" s="71">
        <v>722</v>
      </c>
      <c r="BO18" s="111">
        <v>0</v>
      </c>
      <c r="BP18" s="74">
        <f t="shared" ref="BP18:BP20" si="59">BN18/(BN18+BO18)</f>
        <v>1</v>
      </c>
      <c r="BQ18" s="83">
        <v>3369191</v>
      </c>
      <c r="BR18" s="83">
        <v>69492</v>
      </c>
      <c r="BS18" s="83">
        <v>1458287</v>
      </c>
      <c r="BT18" s="153">
        <f t="shared" ref="BT18:BT25" si="60">BS18/BQ18</f>
        <v>0.43283001765112161</v>
      </c>
      <c r="BU18" s="167">
        <f t="shared" si="30"/>
        <v>2</v>
      </c>
      <c r="BV18" s="83">
        <v>380000</v>
      </c>
      <c r="BW18" s="173">
        <v>55000</v>
      </c>
      <c r="BX18" s="173">
        <f t="shared" si="31"/>
        <v>526.31578947368416</v>
      </c>
      <c r="BY18" s="173">
        <f t="shared" si="32"/>
        <v>76.177285318559555</v>
      </c>
      <c r="BZ18" s="464">
        <f t="shared" si="33"/>
        <v>0.72896923749817755</v>
      </c>
      <c r="CA18" s="167">
        <f t="shared" si="34"/>
        <v>5</v>
      </c>
      <c r="CB18" s="173">
        <v>924000</v>
      </c>
      <c r="CC18" s="83">
        <v>414270</v>
      </c>
      <c r="CD18" s="83">
        <v>256794</v>
      </c>
      <c r="CE18" s="83">
        <v>313143</v>
      </c>
      <c r="CF18" s="173">
        <v>77833</v>
      </c>
      <c r="CG18" s="83">
        <v>297752</v>
      </c>
      <c r="CH18" s="83">
        <v>412756</v>
      </c>
      <c r="CI18" s="83">
        <f t="shared" ref="CI18:CI25" si="61">CH18-CG18</f>
        <v>115004</v>
      </c>
      <c r="CJ18" s="153">
        <f t="shared" ref="CJ18" si="62">CI18/CG18</f>
        <v>0.38624089846583737</v>
      </c>
      <c r="CK18" s="84">
        <f t="shared" ref="CK18" si="63">CC18/CD18</f>
        <v>1.613238627070726</v>
      </c>
      <c r="CL18" s="84">
        <f t="shared" ref="CL18" si="64">CD18/CE18</f>
        <v>0.82005345800480933</v>
      </c>
      <c r="CM18" s="84">
        <f t="shared" si="17"/>
        <v>0.9963453786178097</v>
      </c>
      <c r="CN18" s="170">
        <f t="shared" si="18"/>
        <v>216.85803324099723</v>
      </c>
      <c r="CO18" s="167">
        <f>IF(CN18&lt;100,5,IF(CN18&lt;164,4,IF(CN18&lt;265,3,IF(CN18&lt;300,2,0))))</f>
        <v>3</v>
      </c>
      <c r="CP18" s="84">
        <f>(CK18+CM18)-CL18</f>
        <v>1.7895305476837264</v>
      </c>
      <c r="CQ18" s="167">
        <f t="shared" si="44"/>
        <v>2</v>
      </c>
      <c r="CR18" s="173">
        <v>0</v>
      </c>
      <c r="CS18" s="83">
        <v>0</v>
      </c>
      <c r="CT18" s="83">
        <v>62252</v>
      </c>
      <c r="CU18" s="76">
        <v>0.50070000000000003</v>
      </c>
      <c r="CV18" s="76">
        <v>6.3500000000000001E-2</v>
      </c>
      <c r="CW18" s="76">
        <v>0.38529999999999998</v>
      </c>
      <c r="CX18" s="76">
        <v>5.04E-2</v>
      </c>
      <c r="CY18" s="57"/>
      <c r="CZ18" s="111">
        <v>1997</v>
      </c>
      <c r="DA18" s="111">
        <v>1997</v>
      </c>
      <c r="DB18" s="213">
        <f t="shared" si="37"/>
        <v>1</v>
      </c>
      <c r="DC18" s="215">
        <f t="shared" si="22"/>
        <v>45</v>
      </c>
      <c r="DD18" s="409" t="str">
        <f t="shared" si="38"/>
        <v>B</v>
      </c>
      <c r="DE18" s="171"/>
      <c r="DF18" s="242" t="s">
        <v>3085</v>
      </c>
      <c r="DG18" s="244" t="s">
        <v>3086</v>
      </c>
      <c r="DH18" s="99" t="s">
        <v>3110</v>
      </c>
      <c r="DI18" s="100" t="s">
        <v>3111</v>
      </c>
      <c r="DJ18" s="100" t="s">
        <v>1116</v>
      </c>
      <c r="DK18" s="100" t="s">
        <v>160</v>
      </c>
      <c r="DL18" s="100" t="s">
        <v>235</v>
      </c>
      <c r="DM18" s="374">
        <v>4694</v>
      </c>
      <c r="DN18" s="100" t="s">
        <v>1117</v>
      </c>
      <c r="DO18" s="376" t="s">
        <v>1118</v>
      </c>
    </row>
    <row r="19" spans="1:119" s="164" customFormat="1" ht="28">
      <c r="A19" s="161" t="s">
        <v>1971</v>
      </c>
      <c r="B19" s="111" t="s">
        <v>1149</v>
      </c>
      <c r="C19" s="100" t="s">
        <v>1148</v>
      </c>
      <c r="D19" s="391">
        <v>2003</v>
      </c>
      <c r="E19" s="112">
        <v>2011</v>
      </c>
      <c r="F19" s="112">
        <v>2010</v>
      </c>
      <c r="G19" s="112">
        <v>2012</v>
      </c>
      <c r="H19" s="100" t="s">
        <v>1078</v>
      </c>
      <c r="I19" s="81">
        <v>3447</v>
      </c>
      <c r="J19" s="81">
        <v>2570</v>
      </c>
      <c r="K19" s="68">
        <f t="shared" si="0"/>
        <v>0.74557586306933565</v>
      </c>
      <c r="L19" s="167">
        <f t="shared" si="23"/>
        <v>3</v>
      </c>
      <c r="M19" s="82">
        <v>24623</v>
      </c>
      <c r="N19" s="123">
        <f>M19/Benchmark!$C$5</f>
        <v>0.66119763694951661</v>
      </c>
      <c r="O19" s="155">
        <f t="shared" si="56"/>
        <v>2</v>
      </c>
      <c r="P19" s="68">
        <v>0.52200000000000002</v>
      </c>
      <c r="Q19" s="253">
        <f t="shared" si="57"/>
        <v>3</v>
      </c>
      <c r="R19" s="130">
        <f t="shared" si="3"/>
        <v>2003</v>
      </c>
      <c r="S19" s="71" t="s">
        <v>2815</v>
      </c>
      <c r="T19" s="71" t="s">
        <v>2852</v>
      </c>
      <c r="U19" s="74" t="s">
        <v>2801</v>
      </c>
      <c r="V19" s="167">
        <f t="shared" si="24"/>
        <v>0</v>
      </c>
      <c r="W19" s="74" t="s">
        <v>2904</v>
      </c>
      <c r="X19" s="101">
        <v>500</v>
      </c>
      <c r="Y19" s="112"/>
      <c r="Z19" s="130">
        <f t="shared" si="4"/>
        <v>2011</v>
      </c>
      <c r="AA19" s="74" t="s">
        <v>1640</v>
      </c>
      <c r="AB19" s="74" t="s">
        <v>1640</v>
      </c>
      <c r="AC19" s="112">
        <f t="shared" si="5"/>
        <v>2010</v>
      </c>
      <c r="AD19" s="71"/>
      <c r="AE19" s="71"/>
      <c r="AF19" s="71">
        <v>0</v>
      </c>
      <c r="AG19" s="101">
        <v>1500000</v>
      </c>
      <c r="AH19" s="71">
        <v>2</v>
      </c>
      <c r="AI19" s="101">
        <v>121027</v>
      </c>
      <c r="AJ19" s="101">
        <v>170</v>
      </c>
      <c r="AK19" s="101">
        <v>85718</v>
      </c>
      <c r="AL19" s="101">
        <v>17090</v>
      </c>
      <c r="AM19" s="101">
        <v>3159</v>
      </c>
      <c r="AN19" s="74">
        <f>AM19/AK19</f>
        <v>3.6853403019202501E-2</v>
      </c>
      <c r="AO19" s="74">
        <v>0.25</v>
      </c>
      <c r="AP19" s="167">
        <f t="shared" si="25"/>
        <v>5</v>
      </c>
      <c r="AQ19" s="165" t="s">
        <v>1639</v>
      </c>
      <c r="AR19" s="253">
        <f t="shared" si="58"/>
        <v>5</v>
      </c>
      <c r="AS19" s="101">
        <v>600000</v>
      </c>
      <c r="AT19" s="72">
        <v>300000</v>
      </c>
      <c r="AU19" s="72">
        <v>500000</v>
      </c>
      <c r="AV19" s="73">
        <f t="shared" si="55"/>
        <v>2</v>
      </c>
      <c r="AW19" s="112">
        <f t="shared" si="7"/>
        <v>116.73151750972762</v>
      </c>
      <c r="AX19" s="101">
        <f t="shared" si="49"/>
        <v>2570</v>
      </c>
      <c r="AY19" s="112" t="str">
        <f t="shared" si="9"/>
        <v>Undersized</v>
      </c>
      <c r="AZ19" s="167">
        <f t="shared" si="26"/>
        <v>0</v>
      </c>
      <c r="BA19" s="176">
        <f t="shared" si="10"/>
        <v>120000</v>
      </c>
      <c r="BB19" s="414">
        <f t="shared" si="11"/>
        <v>0.2</v>
      </c>
      <c r="BC19" s="167">
        <f t="shared" si="27"/>
        <v>0</v>
      </c>
      <c r="BD19" s="112">
        <f t="shared" si="12"/>
        <v>2012</v>
      </c>
      <c r="BE19" s="81" t="s">
        <v>1659</v>
      </c>
      <c r="BF19" s="71" t="s">
        <v>1659</v>
      </c>
      <c r="BG19" s="263" t="s">
        <v>2854</v>
      </c>
      <c r="BH19" s="79">
        <f>57.42*4</f>
        <v>229.68</v>
      </c>
      <c r="BI19" s="152">
        <v>2006</v>
      </c>
      <c r="BJ19" s="167">
        <f t="shared" si="28"/>
        <v>1</v>
      </c>
      <c r="BK19" s="68">
        <f t="shared" si="13"/>
        <v>9.3278641920155961E-3</v>
      </c>
      <c r="BL19" s="167">
        <f t="shared" si="29"/>
        <v>2</v>
      </c>
      <c r="BM19" s="81">
        <f t="shared" si="14"/>
        <v>2570</v>
      </c>
      <c r="BN19" s="71">
        <v>1123</v>
      </c>
      <c r="BO19" s="101">
        <v>0</v>
      </c>
      <c r="BP19" s="74">
        <f t="shared" si="59"/>
        <v>1</v>
      </c>
      <c r="BQ19" s="82">
        <v>8250559</v>
      </c>
      <c r="BR19" s="82">
        <v>154145</v>
      </c>
      <c r="BS19" s="82">
        <v>1889928</v>
      </c>
      <c r="BT19" s="153">
        <f t="shared" si="60"/>
        <v>0.22906666081655799</v>
      </c>
      <c r="BU19" s="167">
        <f t="shared" si="30"/>
        <v>4</v>
      </c>
      <c r="BV19" s="82">
        <v>3689263</v>
      </c>
      <c r="BW19" s="175">
        <v>180711</v>
      </c>
      <c r="BX19" s="173">
        <f t="shared" si="31"/>
        <v>3285.1852181656277</v>
      </c>
      <c r="BY19" s="173">
        <f t="shared" si="32"/>
        <v>160.91807658058772</v>
      </c>
      <c r="BZ19" s="464">
        <f t="shared" si="33"/>
        <v>2.9253652877699268</v>
      </c>
      <c r="CA19" s="167">
        <f t="shared" si="34"/>
        <v>3</v>
      </c>
      <c r="CB19" s="175">
        <v>2478858</v>
      </c>
      <c r="CC19" s="82">
        <v>651490</v>
      </c>
      <c r="CD19" s="82">
        <v>368876</v>
      </c>
      <c r="CE19" s="82">
        <v>523021</v>
      </c>
      <c r="CF19" s="175">
        <v>431771</v>
      </c>
      <c r="CG19" s="82">
        <v>627325</v>
      </c>
      <c r="CH19" s="82">
        <v>651490</v>
      </c>
      <c r="CI19" s="82">
        <f t="shared" si="61"/>
        <v>24165</v>
      </c>
      <c r="CJ19" s="153">
        <f t="shared" ref="CJ19:CJ25" si="65">CI19/CG19</f>
        <v>3.8520702984896189E-2</v>
      </c>
      <c r="CK19" s="84">
        <f t="shared" ref="CK19" si="66">CC19/CD19</f>
        <v>1.7661490582201065</v>
      </c>
      <c r="CL19" s="84">
        <f t="shared" ref="CL19" si="67">CD19/CE19</f>
        <v>0.7052795203251877</v>
      </c>
      <c r="CM19" s="84">
        <f t="shared" si="17"/>
        <v>1</v>
      </c>
      <c r="CN19" s="170">
        <f t="shared" si="18"/>
        <v>203.51011673151751</v>
      </c>
      <c r="CO19" s="167">
        <f t="shared" si="19"/>
        <v>3</v>
      </c>
      <c r="CP19" s="84">
        <f t="shared" si="43"/>
        <v>2.0608695378949187</v>
      </c>
      <c r="CQ19" s="167">
        <f t="shared" si="44"/>
        <v>3</v>
      </c>
      <c r="CR19" s="175">
        <v>0</v>
      </c>
      <c r="CS19" s="82">
        <v>0</v>
      </c>
      <c r="CT19" s="82">
        <v>601502</v>
      </c>
      <c r="CU19" s="102">
        <f>295609/627325</f>
        <v>0.47122145618299927</v>
      </c>
      <c r="CV19" s="102">
        <f>96393/627325</f>
        <v>0.15365719523373053</v>
      </c>
      <c r="CW19" s="102">
        <f>206737/627325</f>
        <v>0.32955326186585898</v>
      </c>
      <c r="CX19" s="102">
        <f>28586/627325</f>
        <v>4.5568086717411228E-2</v>
      </c>
      <c r="CY19" s="71"/>
      <c r="CZ19" s="81">
        <v>2012</v>
      </c>
      <c r="DA19" s="81">
        <v>2010</v>
      </c>
      <c r="DB19" s="213">
        <f t="shared" si="37"/>
        <v>5</v>
      </c>
      <c r="DC19" s="215">
        <f t="shared" si="22"/>
        <v>39</v>
      </c>
      <c r="DD19" s="409" t="str">
        <f t="shared" si="38"/>
        <v>C</v>
      </c>
      <c r="DE19" s="171"/>
      <c r="DF19" s="242" t="s">
        <v>2855</v>
      </c>
      <c r="DG19" s="364" t="s">
        <v>1662</v>
      </c>
      <c r="DH19" s="99" t="s">
        <v>3112</v>
      </c>
      <c r="DI19" s="100" t="s">
        <v>3113</v>
      </c>
      <c r="DJ19" s="100" t="s">
        <v>1151</v>
      </c>
      <c r="DK19" s="100" t="s">
        <v>1078</v>
      </c>
      <c r="DL19" s="100" t="s">
        <v>235</v>
      </c>
      <c r="DM19" s="374">
        <v>4619</v>
      </c>
      <c r="DN19" s="100" t="s">
        <v>1152</v>
      </c>
      <c r="DO19" s="376" t="s">
        <v>3114</v>
      </c>
    </row>
    <row r="20" spans="1:119" s="164" customFormat="1" ht="28">
      <c r="A20" s="99" t="s">
        <v>1971</v>
      </c>
      <c r="B20" s="111" t="s">
        <v>1215</v>
      </c>
      <c r="C20" s="111" t="s">
        <v>1214</v>
      </c>
      <c r="D20" s="392" t="s">
        <v>1662</v>
      </c>
      <c r="E20" s="112">
        <v>2007</v>
      </c>
      <c r="F20" s="112">
        <v>2012</v>
      </c>
      <c r="G20" s="112">
        <v>2012</v>
      </c>
      <c r="H20" s="111" t="s">
        <v>169</v>
      </c>
      <c r="I20" s="111">
        <v>629</v>
      </c>
      <c r="J20" s="81">
        <v>419</v>
      </c>
      <c r="K20" s="68">
        <f t="shared" si="0"/>
        <v>0.66613672496025433</v>
      </c>
      <c r="L20" s="167">
        <f t="shared" si="23"/>
        <v>3</v>
      </c>
      <c r="M20" s="83">
        <v>20769</v>
      </c>
      <c r="N20" s="123">
        <f>M20/Benchmark!$C$5</f>
        <v>0.55770676691729326</v>
      </c>
      <c r="O20" s="155">
        <f t="shared" si="56"/>
        <v>1</v>
      </c>
      <c r="P20" s="68">
        <v>0.68400000000000005</v>
      </c>
      <c r="Q20" s="253">
        <f t="shared" si="57"/>
        <v>1</v>
      </c>
      <c r="R20" s="130" t="str">
        <f t="shared" si="3"/>
        <v>None</v>
      </c>
      <c r="S20" s="71" t="s">
        <v>1659</v>
      </c>
      <c r="T20" s="71" t="s">
        <v>2810</v>
      </c>
      <c r="U20" s="74">
        <v>0.15</v>
      </c>
      <c r="V20" s="167">
        <f t="shared" si="24"/>
        <v>1</v>
      </c>
      <c r="W20" s="74" t="s">
        <v>2904</v>
      </c>
      <c r="X20" s="101">
        <f>142+136</f>
        <v>278</v>
      </c>
      <c r="Y20" s="112" t="s">
        <v>2910</v>
      </c>
      <c r="Z20" s="130">
        <f t="shared" si="4"/>
        <v>2007</v>
      </c>
      <c r="AA20" s="74" t="s">
        <v>1640</v>
      </c>
      <c r="AB20" s="74" t="s">
        <v>1659</v>
      </c>
      <c r="AC20" s="112">
        <f t="shared" si="5"/>
        <v>2012</v>
      </c>
      <c r="AD20" s="71">
        <v>1</v>
      </c>
      <c r="AE20" s="71">
        <v>2</v>
      </c>
      <c r="AF20" s="71">
        <v>0</v>
      </c>
      <c r="AG20" s="101">
        <v>450000</v>
      </c>
      <c r="AH20" s="71">
        <v>20</v>
      </c>
      <c r="AI20" s="69">
        <v>23159</v>
      </c>
      <c r="AJ20" s="69">
        <v>32</v>
      </c>
      <c r="AK20" s="69">
        <v>9636</v>
      </c>
      <c r="AL20" s="111">
        <v>0</v>
      </c>
      <c r="AM20" s="71" t="s">
        <v>1659</v>
      </c>
      <c r="AN20" s="74" t="s">
        <v>1659</v>
      </c>
      <c r="AO20" s="74">
        <v>0.15</v>
      </c>
      <c r="AP20" s="167">
        <f t="shared" si="25"/>
        <v>0</v>
      </c>
      <c r="AQ20" s="165" t="s">
        <v>1639</v>
      </c>
      <c r="AR20" s="253">
        <f t="shared" si="58"/>
        <v>5</v>
      </c>
      <c r="AS20" s="101">
        <v>400000</v>
      </c>
      <c r="AT20" s="72">
        <v>21000</v>
      </c>
      <c r="AU20" s="72">
        <v>119000</v>
      </c>
      <c r="AV20" s="73">
        <f t="shared" si="55"/>
        <v>19.047619047619047</v>
      </c>
      <c r="AW20" s="112">
        <f t="shared" si="7"/>
        <v>50.119331742243439</v>
      </c>
      <c r="AX20" s="101">
        <f t="shared" si="49"/>
        <v>7561.9523809523807</v>
      </c>
      <c r="AY20" s="112" t="str">
        <f t="shared" si="9"/>
        <v>Oversized</v>
      </c>
      <c r="AZ20" s="167">
        <f t="shared" si="26"/>
        <v>5</v>
      </c>
      <c r="BA20" s="176">
        <f t="shared" si="10"/>
        <v>320</v>
      </c>
      <c r="BB20" s="414">
        <f t="shared" si="11"/>
        <v>8.0000000000000004E-4</v>
      </c>
      <c r="BC20" s="167">
        <f t="shared" si="27"/>
        <v>0</v>
      </c>
      <c r="BD20" s="112">
        <f t="shared" si="12"/>
        <v>2012</v>
      </c>
      <c r="BE20" s="111">
        <v>1937</v>
      </c>
      <c r="BF20" s="71">
        <v>0</v>
      </c>
      <c r="BG20" s="214">
        <v>4</v>
      </c>
      <c r="BH20" s="79">
        <f>80*4</f>
        <v>320</v>
      </c>
      <c r="BI20" s="152">
        <v>2008</v>
      </c>
      <c r="BJ20" s="167">
        <f t="shared" si="28"/>
        <v>1</v>
      </c>
      <c r="BK20" s="68">
        <f t="shared" si="13"/>
        <v>1.5407578602725215E-2</v>
      </c>
      <c r="BL20" s="167">
        <f t="shared" si="29"/>
        <v>5</v>
      </c>
      <c r="BM20" s="81">
        <f t="shared" si="14"/>
        <v>419</v>
      </c>
      <c r="BN20" s="71">
        <v>159</v>
      </c>
      <c r="BO20" s="111">
        <v>2</v>
      </c>
      <c r="BP20" s="74">
        <f t="shared" si="59"/>
        <v>0.98757763975155277</v>
      </c>
      <c r="BQ20" s="82">
        <v>1649374</v>
      </c>
      <c r="BR20" s="82">
        <v>31451</v>
      </c>
      <c r="BS20" s="82">
        <v>545154</v>
      </c>
      <c r="BT20" s="153">
        <f t="shared" si="60"/>
        <v>0.33052176158954855</v>
      </c>
      <c r="BU20" s="167">
        <f t="shared" si="30"/>
        <v>3</v>
      </c>
      <c r="BV20" s="83">
        <v>407657</v>
      </c>
      <c r="BW20" s="173"/>
      <c r="BX20" s="173">
        <f t="shared" si="31"/>
        <v>2532.0310559006211</v>
      </c>
      <c r="BY20" s="173">
        <f t="shared" si="32"/>
        <v>0</v>
      </c>
      <c r="BZ20" s="464">
        <f t="shared" si="33"/>
        <v>15.72690096832684</v>
      </c>
      <c r="CA20" s="167">
        <f t="shared" si="34"/>
        <v>0</v>
      </c>
      <c r="CB20" s="173">
        <v>0</v>
      </c>
      <c r="CC20" s="83">
        <v>76247</v>
      </c>
      <c r="CD20" s="83">
        <v>45256</v>
      </c>
      <c r="CE20" s="83">
        <v>76707</v>
      </c>
      <c r="CF20" s="174">
        <v>-8409</v>
      </c>
      <c r="CG20" s="83">
        <v>52247</v>
      </c>
      <c r="CH20" s="83">
        <v>76247</v>
      </c>
      <c r="CI20" s="83">
        <f t="shared" si="61"/>
        <v>24000</v>
      </c>
      <c r="CJ20" s="153">
        <f t="shared" si="65"/>
        <v>0.45935651807759298</v>
      </c>
      <c r="CK20" s="84">
        <f t="shared" ref="CK20" si="68">CC20/CD20</f>
        <v>1.6847931765953685</v>
      </c>
      <c r="CL20" s="84">
        <f t="shared" ref="CL20" si="69">CD20/CE20</f>
        <v>0.58998526861955236</v>
      </c>
      <c r="CM20" s="84">
        <f t="shared" si="17"/>
        <v>1</v>
      </c>
      <c r="CN20" s="170">
        <f t="shared" si="18"/>
        <v>183.07159904534606</v>
      </c>
      <c r="CO20" s="167">
        <f t="shared" si="19"/>
        <v>3</v>
      </c>
      <c r="CP20" s="84">
        <f t="shared" si="43"/>
        <v>2.0948079079758162</v>
      </c>
      <c r="CQ20" s="167">
        <f t="shared" si="44"/>
        <v>3</v>
      </c>
      <c r="CR20" s="173">
        <v>0</v>
      </c>
      <c r="CS20" s="83">
        <v>965025</v>
      </c>
      <c r="CT20" s="83">
        <v>99876</v>
      </c>
      <c r="CU20" s="76">
        <v>0.933776101977147</v>
      </c>
      <c r="CV20" s="76">
        <f>'[1]W-3'!$E$23/'[1]W-3'!$E$26</f>
        <v>4.3256072118973338E-2</v>
      </c>
      <c r="CW20" s="76">
        <v>0</v>
      </c>
      <c r="CX20" s="76">
        <f>1200/'[1]W-3'!$E$26</f>
        <v>2.2967825903879649E-2</v>
      </c>
      <c r="CY20" s="111">
        <v>1996</v>
      </c>
      <c r="CZ20" s="111">
        <v>2008</v>
      </c>
      <c r="DA20" s="71"/>
      <c r="DB20" s="213">
        <f t="shared" si="37"/>
        <v>5</v>
      </c>
      <c r="DC20" s="215">
        <f t="shared" si="22"/>
        <v>36</v>
      </c>
      <c r="DD20" s="409" t="str">
        <f t="shared" si="38"/>
        <v>D</v>
      </c>
      <c r="DE20" s="171"/>
      <c r="DF20" s="242" t="s">
        <v>2957</v>
      </c>
      <c r="DG20" s="240"/>
      <c r="DH20" s="99" t="s">
        <v>3115</v>
      </c>
      <c r="DI20" s="100" t="s">
        <v>3116</v>
      </c>
      <c r="DJ20" s="100" t="s">
        <v>1217</v>
      </c>
      <c r="DK20" s="100" t="s">
        <v>169</v>
      </c>
      <c r="DL20" s="100" t="s">
        <v>235</v>
      </c>
      <c r="DM20" s="374">
        <v>4424</v>
      </c>
      <c r="DN20" s="100" t="s">
        <v>1218</v>
      </c>
      <c r="DO20" s="376" t="s">
        <v>1219</v>
      </c>
    </row>
    <row r="21" spans="1:119" s="57" customFormat="1" ht="42">
      <c r="A21" s="161" t="s">
        <v>1971</v>
      </c>
      <c r="B21" s="111" t="s">
        <v>1358</v>
      </c>
      <c r="C21" s="100" t="s">
        <v>1357</v>
      </c>
      <c r="D21" s="391">
        <v>2003</v>
      </c>
      <c r="E21" s="152" t="s">
        <v>1662</v>
      </c>
      <c r="F21" s="112">
        <v>2010</v>
      </c>
      <c r="G21" s="112">
        <v>2011</v>
      </c>
      <c r="H21" s="100" t="s">
        <v>1359</v>
      </c>
      <c r="I21" s="81">
        <v>1652</v>
      </c>
      <c r="J21" s="81">
        <v>1568</v>
      </c>
      <c r="K21" s="68">
        <f t="shared" si="0"/>
        <v>0.94915254237288138</v>
      </c>
      <c r="L21" s="167">
        <f t="shared" si="23"/>
        <v>5</v>
      </c>
      <c r="M21" s="82">
        <v>20565</v>
      </c>
      <c r="N21" s="123">
        <f>M21/Benchmark!$C$5</f>
        <v>0.55222878625134264</v>
      </c>
      <c r="O21" s="155">
        <f t="shared" si="56"/>
        <v>1</v>
      </c>
      <c r="P21" s="68">
        <v>0.61699999999999999</v>
      </c>
      <c r="Q21" s="253">
        <f t="shared" si="57"/>
        <v>2</v>
      </c>
      <c r="R21" s="130">
        <f t="shared" si="3"/>
        <v>2003</v>
      </c>
      <c r="S21" s="71" t="s">
        <v>2815</v>
      </c>
      <c r="T21" s="71" t="s">
        <v>1972</v>
      </c>
      <c r="U21" s="74">
        <v>0.85</v>
      </c>
      <c r="V21" s="167">
        <f t="shared" si="24"/>
        <v>4</v>
      </c>
      <c r="W21" s="74" t="s">
        <v>2906</v>
      </c>
      <c r="X21" s="101">
        <v>153</v>
      </c>
      <c r="Y21" s="112" t="s">
        <v>2910</v>
      </c>
      <c r="Z21" s="130" t="str">
        <f t="shared" si="4"/>
        <v>None</v>
      </c>
      <c r="AA21" s="74" t="s">
        <v>1659</v>
      </c>
      <c r="AB21" s="74" t="s">
        <v>1659</v>
      </c>
      <c r="AC21" s="112">
        <f t="shared" si="5"/>
        <v>2010</v>
      </c>
      <c r="AD21" s="71">
        <v>0</v>
      </c>
      <c r="AE21" s="71">
        <v>0</v>
      </c>
      <c r="AF21" s="71">
        <v>0</v>
      </c>
      <c r="AG21" s="101">
        <f>278000+314000</f>
        <v>592000</v>
      </c>
      <c r="AH21" s="71">
        <v>5</v>
      </c>
      <c r="AI21" s="101">
        <v>80212</v>
      </c>
      <c r="AJ21" s="101">
        <v>87</v>
      </c>
      <c r="AK21" s="101">
        <v>51392</v>
      </c>
      <c r="AL21" s="101">
        <v>1640</v>
      </c>
      <c r="AM21" s="101">
        <v>30987</v>
      </c>
      <c r="AN21" s="74">
        <f>AM21/AK21</f>
        <v>0.60295376712328763</v>
      </c>
      <c r="AO21" s="74" t="s">
        <v>2801</v>
      </c>
      <c r="AP21" s="167">
        <f t="shared" si="25"/>
        <v>0</v>
      </c>
      <c r="AQ21" s="165" t="s">
        <v>1639</v>
      </c>
      <c r="AR21" s="253">
        <f t="shared" si="58"/>
        <v>5</v>
      </c>
      <c r="AS21" s="101">
        <v>600000</v>
      </c>
      <c r="AT21" s="72">
        <v>130000</v>
      </c>
      <c r="AU21" s="72">
        <v>600000</v>
      </c>
      <c r="AV21" s="73">
        <f t="shared" si="55"/>
        <v>4.615384615384615</v>
      </c>
      <c r="AW21" s="112">
        <f t="shared" si="7"/>
        <v>82.908163265306129</v>
      </c>
      <c r="AX21" s="101">
        <f t="shared" si="49"/>
        <v>5668.9230769230762</v>
      </c>
      <c r="AY21" s="112" t="str">
        <f t="shared" si="9"/>
        <v>Oversized</v>
      </c>
      <c r="AZ21" s="167">
        <f t="shared" si="26"/>
        <v>5</v>
      </c>
      <c r="BA21" s="176">
        <f t="shared" si="10"/>
        <v>-379680</v>
      </c>
      <c r="BB21" s="420">
        <f t="shared" si="11"/>
        <v>-0.63280000000000003</v>
      </c>
      <c r="BC21" s="167">
        <f t="shared" si="27"/>
        <v>0</v>
      </c>
      <c r="BD21" s="112">
        <f t="shared" si="12"/>
        <v>2011</v>
      </c>
      <c r="BE21" s="81">
        <v>1902</v>
      </c>
      <c r="BF21" s="71">
        <v>7</v>
      </c>
      <c r="BG21" s="263">
        <v>2</v>
      </c>
      <c r="BH21" s="79">
        <f>64*4</f>
        <v>256</v>
      </c>
      <c r="BI21" s="152">
        <v>2009</v>
      </c>
      <c r="BJ21" s="167">
        <f t="shared" si="28"/>
        <v>3</v>
      </c>
      <c r="BK21" s="68">
        <f t="shared" si="13"/>
        <v>1.2448334548991004E-2</v>
      </c>
      <c r="BL21" s="167">
        <f t="shared" si="29"/>
        <v>2</v>
      </c>
      <c r="BM21" s="81">
        <f t="shared" si="14"/>
        <v>1568</v>
      </c>
      <c r="BN21" s="71">
        <v>545</v>
      </c>
      <c r="BO21" s="101">
        <v>0</v>
      </c>
      <c r="BP21" s="74">
        <f>BN21/(BN21+BO21)</f>
        <v>1</v>
      </c>
      <c r="BQ21" s="82">
        <v>1424718</v>
      </c>
      <c r="BR21" s="82">
        <v>23336</v>
      </c>
      <c r="BS21" s="82">
        <v>1032665</v>
      </c>
      <c r="BT21" s="153">
        <f t="shared" si="60"/>
        <v>0.72482063117051931</v>
      </c>
      <c r="BU21" s="167">
        <f t="shared" si="30"/>
        <v>0</v>
      </c>
      <c r="BV21" s="82">
        <v>122410</v>
      </c>
      <c r="BW21" s="175">
        <v>14042</v>
      </c>
      <c r="BX21" s="173">
        <f t="shared" si="31"/>
        <v>224.60550458715596</v>
      </c>
      <c r="BY21" s="173">
        <f t="shared" si="32"/>
        <v>25.765137614678899</v>
      </c>
      <c r="BZ21" s="464">
        <f t="shared" si="33"/>
        <v>0.41212019190303845</v>
      </c>
      <c r="CA21" s="167">
        <f t="shared" si="34"/>
        <v>5</v>
      </c>
      <c r="CB21" s="175">
        <v>505850</v>
      </c>
      <c r="CC21" s="82">
        <v>264686</v>
      </c>
      <c r="CD21" s="82">
        <v>216167</v>
      </c>
      <c r="CE21" s="82">
        <v>240882</v>
      </c>
      <c r="CF21" s="175">
        <v>10743</v>
      </c>
      <c r="CG21" s="82">
        <v>175457</v>
      </c>
      <c r="CH21" s="82">
        <v>261096</v>
      </c>
      <c r="CI21" s="82">
        <f t="shared" si="61"/>
        <v>85639</v>
      </c>
      <c r="CJ21" s="153">
        <f t="shared" si="65"/>
        <v>0.48809109924368932</v>
      </c>
      <c r="CK21" s="84">
        <f t="shared" ref="CK21" si="70">CC21/CD21</f>
        <v>1.2244514657648948</v>
      </c>
      <c r="CL21" s="84">
        <f t="shared" ref="CL21" si="71">CD21/CE21</f>
        <v>0.89739789606529341</v>
      </c>
      <c r="CM21" s="84">
        <f t="shared" si="17"/>
        <v>0.98643675902767813</v>
      </c>
      <c r="CN21" s="170">
        <f t="shared" si="18"/>
        <v>153.6237244897959</v>
      </c>
      <c r="CO21" s="167">
        <f t="shared" si="19"/>
        <v>4</v>
      </c>
      <c r="CP21" s="84">
        <f t="shared" si="43"/>
        <v>1.3134903287272794</v>
      </c>
      <c r="CQ21" s="167">
        <f t="shared" si="44"/>
        <v>2</v>
      </c>
      <c r="CR21" s="175">
        <v>0</v>
      </c>
      <c r="CS21" s="82">
        <v>0</v>
      </c>
      <c r="CT21" s="82">
        <v>15505</v>
      </c>
      <c r="CU21" s="102">
        <f>154187/175457</f>
        <v>0.87877371663712478</v>
      </c>
      <c r="CV21" s="102">
        <f>16394/175457</f>
        <v>9.3435998563750663E-2</v>
      </c>
      <c r="CW21" s="102">
        <f>193/175457</f>
        <v>1.0999846116142417E-3</v>
      </c>
      <c r="CX21" s="102">
        <f>4683/175457</f>
        <v>2.669030018751033E-2</v>
      </c>
      <c r="CY21" s="71"/>
      <c r="CZ21" s="81">
        <v>1988</v>
      </c>
      <c r="DA21" s="71"/>
      <c r="DB21" s="213">
        <f t="shared" si="37"/>
        <v>0</v>
      </c>
      <c r="DC21" s="215">
        <f t="shared" si="22"/>
        <v>38</v>
      </c>
      <c r="DD21" s="409" t="str">
        <f t="shared" si="38"/>
        <v>C</v>
      </c>
      <c r="DE21" s="171"/>
      <c r="DF21" s="242" t="s">
        <v>2857</v>
      </c>
      <c r="DG21" s="243" t="s">
        <v>3095</v>
      </c>
      <c r="DH21" s="99" t="s">
        <v>3126</v>
      </c>
      <c r="DI21" s="100" t="s">
        <v>3127</v>
      </c>
      <c r="DJ21" s="100" t="s">
        <v>1361</v>
      </c>
      <c r="DK21" s="100" t="s">
        <v>1359</v>
      </c>
      <c r="DL21" s="100" t="s">
        <v>235</v>
      </c>
      <c r="DM21" s="374">
        <v>4652</v>
      </c>
      <c r="DN21" s="100" t="s">
        <v>1362</v>
      </c>
      <c r="DO21" s="376" t="s">
        <v>1363</v>
      </c>
    </row>
    <row r="22" spans="1:119" s="164" customFormat="1" ht="28">
      <c r="A22" s="99" t="s">
        <v>1971</v>
      </c>
      <c r="B22" s="111" t="s">
        <v>1376</v>
      </c>
      <c r="C22" s="111" t="s">
        <v>1375</v>
      </c>
      <c r="D22" s="391">
        <v>2003</v>
      </c>
      <c r="E22" s="152" t="s">
        <v>1662</v>
      </c>
      <c r="F22" s="112">
        <v>2010</v>
      </c>
      <c r="G22" s="112">
        <v>2012</v>
      </c>
      <c r="H22" s="111" t="s">
        <v>192</v>
      </c>
      <c r="I22" s="111">
        <v>2353</v>
      </c>
      <c r="J22" s="81">
        <v>1350</v>
      </c>
      <c r="K22" s="68">
        <f t="shared" si="0"/>
        <v>0.57373565660858483</v>
      </c>
      <c r="L22" s="167">
        <f t="shared" si="23"/>
        <v>2</v>
      </c>
      <c r="M22" s="83">
        <v>24318</v>
      </c>
      <c r="N22" s="123">
        <f>M22/Benchmark!$C$5</f>
        <v>0.65300751879699248</v>
      </c>
      <c r="O22" s="155">
        <f t="shared" si="56"/>
        <v>2</v>
      </c>
      <c r="P22" s="68">
        <v>0.53300000000000003</v>
      </c>
      <c r="Q22" s="253">
        <f t="shared" si="57"/>
        <v>3</v>
      </c>
      <c r="R22" s="130">
        <f t="shared" si="3"/>
        <v>2003</v>
      </c>
      <c r="S22" s="71" t="s">
        <v>2815</v>
      </c>
      <c r="T22" s="71" t="s">
        <v>2810</v>
      </c>
      <c r="U22" s="74" t="s">
        <v>2875</v>
      </c>
      <c r="V22" s="167">
        <f t="shared" si="24"/>
        <v>1</v>
      </c>
      <c r="W22" s="74" t="s">
        <v>2904</v>
      </c>
      <c r="X22" s="101">
        <f>300+750</f>
        <v>1050</v>
      </c>
      <c r="Y22" s="112"/>
      <c r="Z22" s="130" t="str">
        <f t="shared" si="4"/>
        <v>None</v>
      </c>
      <c r="AA22" s="75" t="s">
        <v>1659</v>
      </c>
      <c r="AB22" s="75" t="s">
        <v>1659</v>
      </c>
      <c r="AC22" s="112">
        <f t="shared" si="5"/>
        <v>2010</v>
      </c>
      <c r="AD22" s="71">
        <v>0</v>
      </c>
      <c r="AE22" s="71">
        <v>0</v>
      </c>
      <c r="AF22" s="71">
        <v>0</v>
      </c>
      <c r="AG22" s="101">
        <v>468000</v>
      </c>
      <c r="AH22" s="71">
        <v>2</v>
      </c>
      <c r="AI22" s="69">
        <v>54072</v>
      </c>
      <c r="AJ22" s="111">
        <f>58+44</f>
        <v>102</v>
      </c>
      <c r="AK22" s="69">
        <v>77237</v>
      </c>
      <c r="AL22" s="69">
        <v>4612</v>
      </c>
      <c r="AM22" s="69">
        <v>6818</v>
      </c>
      <c r="AN22" s="74">
        <f>AM22/AK22</f>
        <v>8.827375480663413E-2</v>
      </c>
      <c r="AO22" s="74" t="s">
        <v>2801</v>
      </c>
      <c r="AP22" s="167">
        <f t="shared" si="25"/>
        <v>5</v>
      </c>
      <c r="AQ22" s="165" t="s">
        <v>1639</v>
      </c>
      <c r="AR22" s="253">
        <f t="shared" si="58"/>
        <v>5</v>
      </c>
      <c r="AS22" s="101">
        <v>400000</v>
      </c>
      <c r="AT22" s="72">
        <v>225000</v>
      </c>
      <c r="AU22" s="72">
        <v>350000</v>
      </c>
      <c r="AV22" s="73">
        <f t="shared" si="55"/>
        <v>1.7777777777777777</v>
      </c>
      <c r="AW22" s="112">
        <f t="shared" si="7"/>
        <v>166.66666666666666</v>
      </c>
      <c r="AX22" s="101">
        <f t="shared" si="49"/>
        <v>1050</v>
      </c>
      <c r="AY22" s="112" t="str">
        <f t="shared" si="9"/>
        <v>Undersized</v>
      </c>
      <c r="AZ22" s="167">
        <f t="shared" si="26"/>
        <v>0</v>
      </c>
      <c r="BA22" s="176">
        <f t="shared" si="10"/>
        <v>1112000</v>
      </c>
      <c r="BB22" s="414">
        <f t="shared" si="11"/>
        <v>2.78</v>
      </c>
      <c r="BC22" s="167">
        <f t="shared" si="27"/>
        <v>3</v>
      </c>
      <c r="BD22" s="112">
        <f t="shared" si="12"/>
        <v>2012</v>
      </c>
      <c r="BE22" s="111">
        <v>1885</v>
      </c>
      <c r="BF22" s="71">
        <v>0</v>
      </c>
      <c r="BG22" s="263">
        <v>2</v>
      </c>
      <c r="BH22" s="78">
        <f>58.5*4</f>
        <v>234</v>
      </c>
      <c r="BI22" s="152">
        <v>2008</v>
      </c>
      <c r="BJ22" s="167">
        <f t="shared" si="28"/>
        <v>1</v>
      </c>
      <c r="BK22" s="68">
        <f t="shared" si="13"/>
        <v>9.6225018504811251E-3</v>
      </c>
      <c r="BL22" s="167">
        <f t="shared" si="29"/>
        <v>2</v>
      </c>
      <c r="BM22" s="81">
        <f t="shared" si="14"/>
        <v>1350</v>
      </c>
      <c r="BN22" s="71">
        <v>537</v>
      </c>
      <c r="BO22" s="111">
        <v>0</v>
      </c>
      <c r="BP22" s="74">
        <f>BN22/(BN22+BO22)</f>
        <v>1</v>
      </c>
      <c r="BQ22" s="82">
        <v>1504829</v>
      </c>
      <c r="BR22" s="82">
        <v>34651</v>
      </c>
      <c r="BS22" s="82">
        <v>726604</v>
      </c>
      <c r="BT22" s="153">
        <f t="shared" si="60"/>
        <v>0.48284821730575367</v>
      </c>
      <c r="BU22" s="167">
        <f t="shared" si="30"/>
        <v>2</v>
      </c>
      <c r="BV22" s="83">
        <v>142140</v>
      </c>
      <c r="BW22" s="173">
        <v>23690</v>
      </c>
      <c r="BX22" s="173">
        <f t="shared" si="31"/>
        <v>264.6927374301676</v>
      </c>
      <c r="BY22" s="173">
        <f t="shared" si="32"/>
        <v>44.115456238361269</v>
      </c>
      <c r="BZ22" s="464">
        <f t="shared" si="33"/>
        <v>0.49291012556828229</v>
      </c>
      <c r="CA22" s="167">
        <f t="shared" si="34"/>
        <v>5</v>
      </c>
      <c r="CB22" s="173">
        <v>0</v>
      </c>
      <c r="CC22" s="83">
        <v>323496</v>
      </c>
      <c r="CD22" s="83">
        <v>241561</v>
      </c>
      <c r="CE22" s="83">
        <v>307207</v>
      </c>
      <c r="CF22" s="173">
        <v>20253</v>
      </c>
      <c r="CG22" s="83">
        <v>205436</v>
      </c>
      <c r="CH22" s="83">
        <v>323161</v>
      </c>
      <c r="CI22" s="83">
        <f t="shared" si="61"/>
        <v>117725</v>
      </c>
      <c r="CJ22" s="153">
        <f t="shared" si="65"/>
        <v>0.57304951420393702</v>
      </c>
      <c r="CK22" s="84">
        <f t="shared" ref="CK22" si="72">CC22/CD22</f>
        <v>1.3391896870769702</v>
      </c>
      <c r="CL22" s="84">
        <f t="shared" ref="CL22" si="73">CD22/CE22</f>
        <v>0.78631346290937376</v>
      </c>
      <c r="CM22" s="84">
        <f t="shared" si="17"/>
        <v>0.99896443850928607</v>
      </c>
      <c r="CN22" s="170">
        <f t="shared" si="18"/>
        <v>227.56074074074073</v>
      </c>
      <c r="CO22" s="167">
        <f t="shared" si="19"/>
        <v>3</v>
      </c>
      <c r="CP22" s="84">
        <f t="shared" si="43"/>
        <v>1.5518406626768826</v>
      </c>
      <c r="CQ22" s="167">
        <f t="shared" si="44"/>
        <v>2</v>
      </c>
      <c r="CR22" s="173">
        <v>0</v>
      </c>
      <c r="CS22" s="83">
        <v>0</v>
      </c>
      <c r="CT22" s="83">
        <v>11270</v>
      </c>
      <c r="CU22" s="76">
        <f>127438/205436</f>
        <v>0.62032944566677695</v>
      </c>
      <c r="CV22" s="76">
        <f>42063/205436</f>
        <v>0.20474989777838354</v>
      </c>
      <c r="CW22" s="76">
        <f>19269/205436</f>
        <v>9.3795634650207363E-2</v>
      </c>
      <c r="CX22" s="76">
        <f>16666/205436</f>
        <v>8.1125021904632097E-2</v>
      </c>
      <c r="CY22" s="71"/>
      <c r="CZ22" s="111">
        <v>1998</v>
      </c>
      <c r="DA22" s="75"/>
      <c r="DB22" s="213">
        <f t="shared" si="37"/>
        <v>1</v>
      </c>
      <c r="DC22" s="215">
        <f t="shared" si="22"/>
        <v>37</v>
      </c>
      <c r="DD22" s="409" t="str">
        <f t="shared" si="38"/>
        <v>C</v>
      </c>
      <c r="DE22" s="171"/>
      <c r="DF22" s="241" t="s">
        <v>2858</v>
      </c>
      <c r="DG22" s="244" t="s">
        <v>2859</v>
      </c>
      <c r="DH22" s="99" t="s">
        <v>3128</v>
      </c>
      <c r="DI22" s="100" t="s">
        <v>3129</v>
      </c>
      <c r="DJ22" s="100" t="s">
        <v>1378</v>
      </c>
      <c r="DK22" s="100" t="s">
        <v>192</v>
      </c>
      <c r="DL22" s="100" t="s">
        <v>235</v>
      </c>
      <c r="DM22" s="374">
        <v>4654</v>
      </c>
      <c r="DN22" s="100" t="s">
        <v>1379</v>
      </c>
      <c r="DO22" s="376" t="s">
        <v>3130</v>
      </c>
    </row>
    <row r="23" spans="1:119" s="172" customFormat="1" ht="42">
      <c r="A23" s="161" t="s">
        <v>1971</v>
      </c>
      <c r="B23" s="111" t="s">
        <v>1405</v>
      </c>
      <c r="C23" s="100" t="s">
        <v>1404</v>
      </c>
      <c r="D23" s="391">
        <v>2003</v>
      </c>
      <c r="E23" s="152" t="s">
        <v>1662</v>
      </c>
      <c r="F23" s="112">
        <v>2010</v>
      </c>
      <c r="G23" s="112">
        <v>2010</v>
      </c>
      <c r="H23" s="100" t="s">
        <v>200</v>
      </c>
      <c r="I23" s="81">
        <v>1279</v>
      </c>
      <c r="J23" s="81">
        <v>413</v>
      </c>
      <c r="K23" s="68">
        <f t="shared" si="0"/>
        <v>0.32290852228303363</v>
      </c>
      <c r="L23" s="167">
        <f t="shared" si="23"/>
        <v>1</v>
      </c>
      <c r="M23" s="82">
        <v>22371</v>
      </c>
      <c r="N23" s="123">
        <f>M23/Benchmark!$C$5</f>
        <v>0.60072502685284646</v>
      </c>
      <c r="O23" s="155">
        <f t="shared" si="56"/>
        <v>2</v>
      </c>
      <c r="P23" s="68">
        <v>0.61499999999999999</v>
      </c>
      <c r="Q23" s="253">
        <f t="shared" si="57"/>
        <v>2</v>
      </c>
      <c r="R23" s="130">
        <f t="shared" si="3"/>
        <v>2003</v>
      </c>
      <c r="S23" s="71">
        <v>0</v>
      </c>
      <c r="T23" s="71" t="s">
        <v>1972</v>
      </c>
      <c r="U23" s="74" t="s">
        <v>2874</v>
      </c>
      <c r="V23" s="167">
        <f t="shared" si="24"/>
        <v>4</v>
      </c>
      <c r="W23" s="74" t="s">
        <v>2908</v>
      </c>
      <c r="X23" s="101">
        <v>80</v>
      </c>
      <c r="Y23" s="112" t="s">
        <v>3040</v>
      </c>
      <c r="Z23" s="130" t="str">
        <f t="shared" si="4"/>
        <v>None</v>
      </c>
      <c r="AA23" s="74" t="s">
        <v>1659</v>
      </c>
      <c r="AB23" s="74" t="s">
        <v>1659</v>
      </c>
      <c r="AC23" s="112">
        <f t="shared" si="5"/>
        <v>2010</v>
      </c>
      <c r="AD23" s="71">
        <v>0</v>
      </c>
      <c r="AE23" s="71">
        <v>3</v>
      </c>
      <c r="AF23" s="71"/>
      <c r="AG23" s="101">
        <f>310000+86*2</f>
        <v>310172</v>
      </c>
      <c r="AH23" s="71">
        <v>2</v>
      </c>
      <c r="AI23" s="101">
        <v>29980</v>
      </c>
      <c r="AJ23" s="101">
        <v>21</v>
      </c>
      <c r="AK23" s="101">
        <v>15957</v>
      </c>
      <c r="AL23" s="101">
        <v>239</v>
      </c>
      <c r="AM23" s="101" t="s">
        <v>2801</v>
      </c>
      <c r="AN23" s="74" t="s">
        <v>2801</v>
      </c>
      <c r="AO23" s="74" t="s">
        <v>2801</v>
      </c>
      <c r="AP23" s="167">
        <f t="shared" si="25"/>
        <v>0</v>
      </c>
      <c r="AQ23" s="165" t="s">
        <v>1639</v>
      </c>
      <c r="AR23" s="253">
        <f t="shared" si="58"/>
        <v>5</v>
      </c>
      <c r="AS23" s="101">
        <v>115200</v>
      </c>
      <c r="AT23" s="72">
        <v>42000</v>
      </c>
      <c r="AU23" s="72">
        <v>58000</v>
      </c>
      <c r="AV23" s="73">
        <f t="shared" si="55"/>
        <v>2.7428571428571429</v>
      </c>
      <c r="AW23" s="112">
        <f t="shared" si="7"/>
        <v>101.69491525423729</v>
      </c>
      <c r="AX23" s="101">
        <f t="shared" si="49"/>
        <v>719.8</v>
      </c>
      <c r="AY23" s="112" t="str">
        <f t="shared" si="9"/>
        <v>Fullsized</v>
      </c>
      <c r="AZ23" s="167">
        <f t="shared" si="26"/>
        <v>2</v>
      </c>
      <c r="BA23" s="176">
        <f t="shared" si="10"/>
        <v>0</v>
      </c>
      <c r="BB23" s="414">
        <f t="shared" si="11"/>
        <v>0</v>
      </c>
      <c r="BC23" s="167">
        <f t="shared" si="27"/>
        <v>0</v>
      </c>
      <c r="BD23" s="112">
        <f t="shared" si="12"/>
        <v>2010</v>
      </c>
      <c r="BE23" s="81">
        <v>1987</v>
      </c>
      <c r="BF23" s="71">
        <v>1</v>
      </c>
      <c r="BG23" s="263">
        <v>1</v>
      </c>
      <c r="BH23" s="79">
        <f>58.8*4</f>
        <v>235.2</v>
      </c>
      <c r="BI23" s="152">
        <v>2002</v>
      </c>
      <c r="BJ23" s="167">
        <f t="shared" si="28"/>
        <v>0</v>
      </c>
      <c r="BK23" s="68">
        <f t="shared" si="13"/>
        <v>1.0513611371865361E-2</v>
      </c>
      <c r="BL23" s="167">
        <f t="shared" si="29"/>
        <v>2</v>
      </c>
      <c r="BM23" s="81">
        <f t="shared" si="14"/>
        <v>413</v>
      </c>
      <c r="BN23" s="71">
        <v>189</v>
      </c>
      <c r="BO23" s="101">
        <v>0</v>
      </c>
      <c r="BP23" s="74">
        <f>BN23/(BN23+BO23)</f>
        <v>1</v>
      </c>
      <c r="BQ23" s="82">
        <v>1384574</v>
      </c>
      <c r="BR23" s="82">
        <v>12911</v>
      </c>
      <c r="BS23" s="82">
        <v>253503</v>
      </c>
      <c r="BT23" s="153">
        <f t="shared" si="60"/>
        <v>0.18309097238573019</v>
      </c>
      <c r="BU23" s="167">
        <f t="shared" si="30"/>
        <v>5</v>
      </c>
      <c r="BV23" s="82">
        <v>430775</v>
      </c>
      <c r="BW23" s="175">
        <v>16609</v>
      </c>
      <c r="BX23" s="173">
        <f t="shared" si="31"/>
        <v>2279.232804232804</v>
      </c>
      <c r="BY23" s="173">
        <f t="shared" si="32"/>
        <v>87.878306878306873</v>
      </c>
      <c r="BZ23" s="464">
        <f t="shared" si="33"/>
        <v>12.059432826628592</v>
      </c>
      <c r="CA23" s="167">
        <f t="shared" si="34"/>
        <v>0</v>
      </c>
      <c r="CB23" s="175">
        <v>16609</v>
      </c>
      <c r="CC23" s="82">
        <v>102007</v>
      </c>
      <c r="CD23" s="82">
        <v>50942</v>
      </c>
      <c r="CE23" s="82">
        <v>65653</v>
      </c>
      <c r="CF23" s="175">
        <v>13264</v>
      </c>
      <c r="CG23" s="82">
        <v>72007</v>
      </c>
      <c r="CH23" s="82">
        <v>102007</v>
      </c>
      <c r="CI23" s="82">
        <f t="shared" si="61"/>
        <v>30000</v>
      </c>
      <c r="CJ23" s="153">
        <f t="shared" si="65"/>
        <v>0.41662616134542474</v>
      </c>
      <c r="CK23" s="84">
        <f t="shared" ref="CK23" si="74">CC23/CD23</f>
        <v>2.0024145106199205</v>
      </c>
      <c r="CL23" s="84">
        <f t="shared" ref="CL23" si="75">CD23/CE23</f>
        <v>0.77592798501210913</v>
      </c>
      <c r="CM23" s="84">
        <f t="shared" si="17"/>
        <v>1</v>
      </c>
      <c r="CN23" s="170">
        <f t="shared" si="18"/>
        <v>158.96610169491527</v>
      </c>
      <c r="CO23" s="167">
        <f t="shared" si="19"/>
        <v>4</v>
      </c>
      <c r="CP23" s="84">
        <f t="shared" si="43"/>
        <v>2.2264865256078115</v>
      </c>
      <c r="CQ23" s="167">
        <f t="shared" si="44"/>
        <v>3</v>
      </c>
      <c r="CR23" s="175">
        <v>0</v>
      </c>
      <c r="CS23" s="82">
        <v>0</v>
      </c>
      <c r="CT23" s="82">
        <v>10476</v>
      </c>
      <c r="CU23" s="102">
        <f>55948/72007</f>
        <v>0.7769800158317941</v>
      </c>
      <c r="CV23" s="102">
        <f>14765/72007</f>
        <v>0.20504950907550654</v>
      </c>
      <c r="CW23" s="102">
        <v>0</v>
      </c>
      <c r="CX23" s="102">
        <f>1294/72007</f>
        <v>1.797047509269932E-2</v>
      </c>
      <c r="CY23" s="81">
        <v>1995</v>
      </c>
      <c r="CZ23" s="81">
        <v>1989</v>
      </c>
      <c r="DA23" s="71"/>
      <c r="DB23" s="213">
        <f t="shared" si="37"/>
        <v>0</v>
      </c>
      <c r="DC23" s="215">
        <f t="shared" si="22"/>
        <v>30</v>
      </c>
      <c r="DD23" s="409" t="str">
        <f t="shared" si="38"/>
        <v>F</v>
      </c>
      <c r="DE23" s="171"/>
      <c r="DF23" s="242" t="s">
        <v>2873</v>
      </c>
      <c r="DG23" s="243" t="s">
        <v>3096</v>
      </c>
      <c r="DH23" s="99" t="s">
        <v>3134</v>
      </c>
      <c r="DI23" s="100" t="s">
        <v>3135</v>
      </c>
      <c r="DJ23" s="100" t="s">
        <v>1407</v>
      </c>
      <c r="DK23" s="100" t="s">
        <v>200</v>
      </c>
      <c r="DL23" s="100" t="s">
        <v>235</v>
      </c>
      <c r="DM23" s="374">
        <v>4658</v>
      </c>
      <c r="DN23" s="100" t="s">
        <v>1408</v>
      </c>
      <c r="DO23" s="376"/>
    </row>
    <row r="24" spans="1:119" s="172" customFormat="1" ht="28">
      <c r="A24" s="99" t="s">
        <v>1971</v>
      </c>
      <c r="B24" s="111" t="s">
        <v>3241</v>
      </c>
      <c r="C24" s="100" t="s">
        <v>1470</v>
      </c>
      <c r="D24" s="391">
        <v>2003</v>
      </c>
      <c r="E24" s="112">
        <v>2012</v>
      </c>
      <c r="F24" s="112">
        <v>2012</v>
      </c>
      <c r="G24" s="112">
        <v>2011</v>
      </c>
      <c r="H24" s="162" t="s">
        <v>2977</v>
      </c>
      <c r="I24" s="81">
        <f>1640+640</f>
        <v>2280</v>
      </c>
      <c r="J24" s="81">
        <v>1900</v>
      </c>
      <c r="K24" s="68">
        <f t="shared" si="0"/>
        <v>0.83333333333333337</v>
      </c>
      <c r="L24" s="167">
        <f t="shared" si="23"/>
        <v>5</v>
      </c>
      <c r="M24" s="83">
        <v>22282</v>
      </c>
      <c r="N24" s="123">
        <f>M24/Benchmark!$C$5</f>
        <v>0.59833512352309348</v>
      </c>
      <c r="O24" s="155">
        <f t="shared" si="56"/>
        <v>1</v>
      </c>
      <c r="P24" s="68">
        <v>0.59699999999999998</v>
      </c>
      <c r="Q24" s="253">
        <f t="shared" si="57"/>
        <v>2</v>
      </c>
      <c r="R24" s="130">
        <f t="shared" si="3"/>
        <v>2003</v>
      </c>
      <c r="S24" s="71" t="s">
        <v>2815</v>
      </c>
      <c r="T24" s="71" t="s">
        <v>2810</v>
      </c>
      <c r="U24" s="74">
        <v>1</v>
      </c>
      <c r="V24" s="167">
        <f t="shared" si="24"/>
        <v>1</v>
      </c>
      <c r="W24" s="74" t="s">
        <v>2914</v>
      </c>
      <c r="X24" s="101">
        <v>1200000</v>
      </c>
      <c r="Y24" s="112" t="s">
        <v>2913</v>
      </c>
      <c r="Z24" s="130">
        <f t="shared" si="4"/>
        <v>2012</v>
      </c>
      <c r="AA24" s="74" t="s">
        <v>2978</v>
      </c>
      <c r="AB24" s="74" t="s">
        <v>2978</v>
      </c>
      <c r="AC24" s="112">
        <f t="shared" si="5"/>
        <v>2012</v>
      </c>
      <c r="AD24" s="71">
        <v>1</v>
      </c>
      <c r="AE24" s="71">
        <v>2</v>
      </c>
      <c r="AF24" s="71">
        <v>1</v>
      </c>
      <c r="AG24" s="101">
        <f>365000+347000</f>
        <v>712000</v>
      </c>
      <c r="AH24" s="71">
        <v>2</v>
      </c>
      <c r="AI24" s="101">
        <v>83899</v>
      </c>
      <c r="AJ24" s="101">
        <v>33</v>
      </c>
      <c r="AK24" s="101">
        <v>98390</v>
      </c>
      <c r="AL24" s="101">
        <v>45813</v>
      </c>
      <c r="AM24" s="101">
        <v>8327</v>
      </c>
      <c r="AN24" s="74">
        <f>AM24/AK24</f>
        <v>8.4632584612257339E-2</v>
      </c>
      <c r="AO24" s="74">
        <v>0.14000000000000001</v>
      </c>
      <c r="AP24" s="167">
        <f t="shared" si="25"/>
        <v>5</v>
      </c>
      <c r="AQ24" s="165" t="s">
        <v>1639</v>
      </c>
      <c r="AR24" s="253">
        <f t="shared" si="58"/>
        <v>5</v>
      </c>
      <c r="AS24" s="101">
        <v>500000</v>
      </c>
      <c r="AT24" s="72">
        <v>250000</v>
      </c>
      <c r="AU24" s="72">
        <v>375000</v>
      </c>
      <c r="AV24" s="73">
        <f>AS24/AT24</f>
        <v>2</v>
      </c>
      <c r="AW24" s="112">
        <f t="shared" si="7"/>
        <v>131.57894736842104</v>
      </c>
      <c r="AX24" s="101">
        <f t="shared" si="49"/>
        <v>1900.0000000000002</v>
      </c>
      <c r="AY24" s="112" t="str">
        <f t="shared" si="9"/>
        <v>Undersized</v>
      </c>
      <c r="AZ24" s="167">
        <f t="shared" si="26"/>
        <v>0</v>
      </c>
      <c r="BA24" s="176">
        <f t="shared" si="10"/>
        <v>1727500000</v>
      </c>
      <c r="BB24" s="414">
        <f t="shared" si="11"/>
        <v>3455</v>
      </c>
      <c r="BC24" s="167">
        <f t="shared" si="27"/>
        <v>5</v>
      </c>
      <c r="BD24" s="112">
        <f t="shared" si="12"/>
        <v>2011</v>
      </c>
      <c r="BE24" s="81">
        <v>1984</v>
      </c>
      <c r="BF24" s="71">
        <v>1</v>
      </c>
      <c r="BG24" s="263">
        <v>5</v>
      </c>
      <c r="BH24" s="79">
        <f>93.6*4</f>
        <v>374.4</v>
      </c>
      <c r="BI24" s="152">
        <v>2008</v>
      </c>
      <c r="BJ24" s="167">
        <f t="shared" si="28"/>
        <v>1</v>
      </c>
      <c r="BK24" s="68">
        <f t="shared" si="13"/>
        <v>1.6802800466744455E-2</v>
      </c>
      <c r="BL24" s="167">
        <f t="shared" si="29"/>
        <v>5</v>
      </c>
      <c r="BM24" s="81">
        <f t="shared" si="14"/>
        <v>1900</v>
      </c>
      <c r="BN24" s="71">
        <v>765</v>
      </c>
      <c r="BO24" s="101">
        <v>0</v>
      </c>
      <c r="BP24" s="74">
        <f>BN24/(BN24+BO24)</f>
        <v>1</v>
      </c>
      <c r="BQ24" s="82">
        <v>13867541</v>
      </c>
      <c r="BR24" s="82">
        <v>25714</v>
      </c>
      <c r="BS24" s="82">
        <v>2363317</v>
      </c>
      <c r="BT24" s="153">
        <f t="shared" si="60"/>
        <v>0.17042076890199928</v>
      </c>
      <c r="BU24" s="167">
        <f t="shared" si="30"/>
        <v>5</v>
      </c>
      <c r="BV24" s="82">
        <v>3257405</v>
      </c>
      <c r="BW24" s="175">
        <v>87381</v>
      </c>
      <c r="BX24" s="173">
        <f t="shared" si="31"/>
        <v>4258.0457516339866</v>
      </c>
      <c r="BY24" s="173">
        <f t="shared" si="32"/>
        <v>114.2235294117647</v>
      </c>
      <c r="BZ24" s="464">
        <f t="shared" si="33"/>
        <v>5.5660728779529238</v>
      </c>
      <c r="CA24" s="167">
        <f t="shared" si="34"/>
        <v>2</v>
      </c>
      <c r="CB24" s="175">
        <v>1463568</v>
      </c>
      <c r="CC24" s="82">
        <v>875934</v>
      </c>
      <c r="CD24" s="82">
        <v>568238</v>
      </c>
      <c r="CE24" s="82">
        <v>710632</v>
      </c>
      <c r="CF24" s="175">
        <v>124354</v>
      </c>
      <c r="CG24" s="82">
        <v>548221</v>
      </c>
      <c r="CH24" s="82">
        <v>870400</v>
      </c>
      <c r="CI24" s="82">
        <f t="shared" si="61"/>
        <v>322179</v>
      </c>
      <c r="CJ24" s="153">
        <f t="shared" si="65"/>
        <v>0.58768088052081191</v>
      </c>
      <c r="CK24" s="84">
        <f t="shared" ref="CK24" si="76">CC24/CD24</f>
        <v>1.5414914173286545</v>
      </c>
      <c r="CL24" s="84">
        <f t="shared" ref="CL24" si="77">CD24/CE24</f>
        <v>0.79962343378851497</v>
      </c>
      <c r="CM24" s="84">
        <f t="shared" si="17"/>
        <v>0.993682172401117</v>
      </c>
      <c r="CN24" s="170">
        <f t="shared" si="18"/>
        <v>374.01684210526315</v>
      </c>
      <c r="CO24" s="167">
        <f t="shared" si="19"/>
        <v>0</v>
      </c>
      <c r="CP24" s="84">
        <f t="shared" si="43"/>
        <v>1.7355501559412567</v>
      </c>
      <c r="CQ24" s="167">
        <f t="shared" si="44"/>
        <v>2</v>
      </c>
      <c r="CR24" s="175">
        <v>0</v>
      </c>
      <c r="CS24" s="82">
        <v>0</v>
      </c>
      <c r="CT24" s="82">
        <v>67880</v>
      </c>
      <c r="CU24" s="102">
        <f>445737/548221</f>
        <v>0.8130607911772807</v>
      </c>
      <c r="CV24" s="102">
        <f>43819/548221</f>
        <v>7.9929444512340825E-2</v>
      </c>
      <c r="CW24" s="102">
        <f>4481/548221</f>
        <v>8.1737109669275717E-3</v>
      </c>
      <c r="CX24" s="102">
        <f>54184/548221</f>
        <v>9.8836053343450914E-2</v>
      </c>
      <c r="CY24" s="81">
        <v>2006</v>
      </c>
      <c r="CZ24" s="81">
        <v>2012</v>
      </c>
      <c r="DA24" s="71"/>
      <c r="DB24" s="213">
        <f t="shared" si="37"/>
        <v>5</v>
      </c>
      <c r="DC24" s="215">
        <f t="shared" si="22"/>
        <v>44</v>
      </c>
      <c r="DD24" s="409" t="str">
        <f t="shared" si="38"/>
        <v>B</v>
      </c>
      <c r="DE24" s="171" t="s">
        <v>3077</v>
      </c>
      <c r="DF24" s="242" t="s">
        <v>2935</v>
      </c>
      <c r="DG24" s="243" t="s">
        <v>2877</v>
      </c>
      <c r="DH24" s="99" t="s">
        <v>213</v>
      </c>
      <c r="DI24" s="100" t="s">
        <v>3136</v>
      </c>
      <c r="DJ24" s="100" t="s">
        <v>1472</v>
      </c>
      <c r="DK24" s="100" t="s">
        <v>176</v>
      </c>
      <c r="DL24" s="100" t="s">
        <v>235</v>
      </c>
      <c r="DM24" s="374">
        <v>4631</v>
      </c>
      <c r="DN24" s="100" t="s">
        <v>1473</v>
      </c>
      <c r="DO24" s="376" t="s">
        <v>1474</v>
      </c>
    </row>
    <row r="25" spans="1:119" s="57" customFormat="1" ht="29" thickBot="1">
      <c r="A25" s="99" t="s">
        <v>1971</v>
      </c>
      <c r="B25" s="111" t="s">
        <v>1491</v>
      </c>
      <c r="C25" s="100" t="s">
        <v>1490</v>
      </c>
      <c r="D25" s="393" t="s">
        <v>1662</v>
      </c>
      <c r="E25" s="394" t="s">
        <v>1662</v>
      </c>
      <c r="F25" s="395">
        <v>2010</v>
      </c>
      <c r="G25" s="395">
        <v>2010</v>
      </c>
      <c r="H25" s="378" t="s">
        <v>1301</v>
      </c>
      <c r="I25" s="277">
        <v>882</v>
      </c>
      <c r="J25" s="277">
        <v>156</v>
      </c>
      <c r="K25" s="396">
        <f t="shared" si="0"/>
        <v>0.17687074829931973</v>
      </c>
      <c r="L25" s="397">
        <f t="shared" si="23"/>
        <v>0</v>
      </c>
      <c r="M25" s="398">
        <v>26579</v>
      </c>
      <c r="N25" s="399">
        <f>M25/Benchmark!$C$5</f>
        <v>0.7137218045112782</v>
      </c>
      <c r="O25" s="400">
        <f t="shared" si="56"/>
        <v>3</v>
      </c>
      <c r="P25" s="396">
        <v>0.56100000000000005</v>
      </c>
      <c r="Q25" s="401">
        <f t="shared" si="57"/>
        <v>2</v>
      </c>
      <c r="R25" s="130" t="str">
        <f t="shared" si="3"/>
        <v>None</v>
      </c>
      <c r="S25" s="71" t="s">
        <v>1659</v>
      </c>
      <c r="T25" s="71" t="s">
        <v>1659</v>
      </c>
      <c r="U25" s="74">
        <v>0.8</v>
      </c>
      <c r="V25" s="167">
        <f t="shared" si="24"/>
        <v>0</v>
      </c>
      <c r="W25" s="74" t="s">
        <v>2917</v>
      </c>
      <c r="X25" s="101">
        <v>115</v>
      </c>
      <c r="Y25" s="112" t="s">
        <v>2910</v>
      </c>
      <c r="Z25" s="130" t="str">
        <f t="shared" si="4"/>
        <v>None</v>
      </c>
      <c r="AA25" s="74" t="s">
        <v>1659</v>
      </c>
      <c r="AB25" s="74" t="s">
        <v>1659</v>
      </c>
      <c r="AC25" s="112">
        <f t="shared" si="5"/>
        <v>2010</v>
      </c>
      <c r="AD25" s="71">
        <v>0</v>
      </c>
      <c r="AE25" s="71">
        <v>0</v>
      </c>
      <c r="AF25" s="71">
        <v>0</v>
      </c>
      <c r="AG25" s="101">
        <v>237500</v>
      </c>
      <c r="AH25" s="71">
        <v>2</v>
      </c>
      <c r="AI25" s="101">
        <v>3682</v>
      </c>
      <c r="AJ25" s="101">
        <v>24</v>
      </c>
      <c r="AK25" s="101" t="s">
        <v>2853</v>
      </c>
      <c r="AL25" s="101" t="s">
        <v>2853</v>
      </c>
      <c r="AM25" s="101" t="s">
        <v>2853</v>
      </c>
      <c r="AN25" s="74" t="s">
        <v>2853</v>
      </c>
      <c r="AO25" s="74" t="s">
        <v>2801</v>
      </c>
      <c r="AP25" s="167">
        <f t="shared" si="25"/>
        <v>0</v>
      </c>
      <c r="AQ25" s="165" t="s">
        <v>1639</v>
      </c>
      <c r="AR25" s="254">
        <f t="shared" si="58"/>
        <v>5</v>
      </c>
      <c r="AS25" s="101">
        <v>82000</v>
      </c>
      <c r="AT25" s="72">
        <v>35000</v>
      </c>
      <c r="AU25" s="72">
        <v>82000</v>
      </c>
      <c r="AV25" s="73">
        <f>AS25/AT25</f>
        <v>2.342857142857143</v>
      </c>
      <c r="AW25" s="112">
        <f t="shared" si="7"/>
        <v>224.35897435897436</v>
      </c>
      <c r="AX25" s="101">
        <f t="shared" si="49"/>
        <v>209.48571428571427</v>
      </c>
      <c r="AY25" s="112" t="str">
        <f t="shared" si="9"/>
        <v>Fullsized</v>
      </c>
      <c r="AZ25" s="167">
        <f t="shared" si="26"/>
        <v>2</v>
      </c>
      <c r="BA25" s="176">
        <f t="shared" si="10"/>
        <v>83600</v>
      </c>
      <c r="BB25" s="414">
        <f t="shared" si="11"/>
        <v>1.0195121951219512</v>
      </c>
      <c r="BC25" s="167">
        <f t="shared" si="27"/>
        <v>2</v>
      </c>
      <c r="BD25" s="112">
        <f t="shared" si="12"/>
        <v>2010</v>
      </c>
      <c r="BE25" s="277">
        <v>1994</v>
      </c>
      <c r="BF25" s="279">
        <v>1</v>
      </c>
      <c r="BG25" s="263">
        <v>1</v>
      </c>
      <c r="BH25" s="79">
        <f>96.2*4</f>
        <v>384.8</v>
      </c>
      <c r="BI25" s="152">
        <v>2009</v>
      </c>
      <c r="BJ25" s="167">
        <f t="shared" si="28"/>
        <v>3</v>
      </c>
      <c r="BK25" s="68">
        <f t="shared" si="13"/>
        <v>1.4477595093871101E-2</v>
      </c>
      <c r="BL25" s="167">
        <f t="shared" si="29"/>
        <v>5</v>
      </c>
      <c r="BM25" s="81">
        <f t="shared" si="14"/>
        <v>156</v>
      </c>
      <c r="BN25" s="71">
        <v>10</v>
      </c>
      <c r="BO25" s="101">
        <v>53</v>
      </c>
      <c r="BP25" s="74">
        <f>BN25/(BN25+BO25)</f>
        <v>0.15873015873015872</v>
      </c>
      <c r="BQ25" s="82">
        <v>1838180</v>
      </c>
      <c r="BR25" s="82">
        <v>34459</v>
      </c>
      <c r="BS25" s="82">
        <v>342109</v>
      </c>
      <c r="BT25" s="153">
        <f t="shared" si="60"/>
        <v>0.18611289427585981</v>
      </c>
      <c r="BU25" s="167">
        <f t="shared" si="30"/>
        <v>5</v>
      </c>
      <c r="BV25" s="82">
        <v>460112</v>
      </c>
      <c r="BW25" s="175">
        <v>11652</v>
      </c>
      <c r="BX25" s="173">
        <f t="shared" si="31"/>
        <v>7303.3650793650795</v>
      </c>
      <c r="BY25" s="173">
        <f t="shared" si="32"/>
        <v>184.95238095238096</v>
      </c>
      <c r="BZ25" s="464">
        <f t="shared" si="33"/>
        <v>115.92642983119174</v>
      </c>
      <c r="CA25" s="167">
        <f t="shared" si="34"/>
        <v>0</v>
      </c>
      <c r="CB25" s="175">
        <v>11652</v>
      </c>
      <c r="CC25" s="82">
        <v>71139</v>
      </c>
      <c r="CD25" s="82">
        <v>33661</v>
      </c>
      <c r="CE25" s="82">
        <v>42753</v>
      </c>
      <c r="CF25" s="175">
        <v>7122</v>
      </c>
      <c r="CG25" s="82">
        <v>48763</v>
      </c>
      <c r="CH25" s="82">
        <v>70875</v>
      </c>
      <c r="CI25" s="82">
        <f t="shared" si="61"/>
        <v>22112</v>
      </c>
      <c r="CJ25" s="153">
        <f t="shared" si="65"/>
        <v>0.45345856489551506</v>
      </c>
      <c r="CK25" s="84">
        <f t="shared" ref="CK25" si="78">CC25/CD25</f>
        <v>2.11339532396542</v>
      </c>
      <c r="CL25" s="84">
        <f t="shared" ref="CL25" si="79">CD25/CE25</f>
        <v>0.78733656117699347</v>
      </c>
      <c r="CM25" s="84">
        <f t="shared" si="17"/>
        <v>0.99628895542529416</v>
      </c>
      <c r="CN25" s="170">
        <f t="shared" si="18"/>
        <v>274.05769230769232</v>
      </c>
      <c r="CO25" s="167">
        <f t="shared" si="19"/>
        <v>2</v>
      </c>
      <c r="CP25" s="84">
        <f t="shared" si="43"/>
        <v>2.3223477182137207</v>
      </c>
      <c r="CQ25" s="167">
        <f t="shared" si="44"/>
        <v>3</v>
      </c>
      <c r="CR25" s="175">
        <v>0</v>
      </c>
      <c r="CS25" s="82">
        <v>0</v>
      </c>
      <c r="CT25" s="82">
        <v>29306</v>
      </c>
      <c r="CU25" s="102">
        <f>39390/48763</f>
        <v>0.80778459077579312</v>
      </c>
      <c r="CV25" s="102">
        <f>6062/48763</f>
        <v>0.1243155671308164</v>
      </c>
      <c r="CW25" s="102">
        <v>0</v>
      </c>
      <c r="CX25" s="102">
        <f>3311/48763</f>
        <v>6.7899842093390478E-2</v>
      </c>
      <c r="CY25" s="81">
        <v>1996</v>
      </c>
      <c r="CZ25" s="81"/>
      <c r="DA25" s="71"/>
      <c r="DB25" s="213">
        <f t="shared" si="37"/>
        <v>0</v>
      </c>
      <c r="DC25" s="215">
        <f t="shared" si="22"/>
        <v>32</v>
      </c>
      <c r="DD25" s="409" t="str">
        <f t="shared" si="38"/>
        <v>F</v>
      </c>
      <c r="DE25" s="362"/>
      <c r="DF25" s="245" t="s">
        <v>2882</v>
      </c>
      <c r="DG25" s="246" t="s">
        <v>2881</v>
      </c>
      <c r="DH25" s="377" t="s">
        <v>3138</v>
      </c>
      <c r="DI25" s="378" t="s">
        <v>3139</v>
      </c>
      <c r="DJ25" s="378" t="s">
        <v>1493</v>
      </c>
      <c r="DK25" s="378" t="s">
        <v>1301</v>
      </c>
      <c r="DL25" s="378" t="s">
        <v>235</v>
      </c>
      <c r="DM25" s="379">
        <v>4643</v>
      </c>
      <c r="DN25" s="378" t="s">
        <v>1494</v>
      </c>
      <c r="DO25" s="380" t="s">
        <v>3149</v>
      </c>
    </row>
    <row r="26" spans="1:119" s="164" customFormat="1" ht="15" thickBot="1">
      <c r="A26" s="519" t="s">
        <v>2997</v>
      </c>
      <c r="B26" s="520"/>
      <c r="C26" s="211"/>
      <c r="D26" s="386"/>
      <c r="E26" s="386"/>
      <c r="F26" s="386"/>
      <c r="G26" s="386"/>
      <c r="H26" s="386"/>
      <c r="I26" s="387">
        <f>MEDIAN(I3:I25)</f>
        <v>2280</v>
      </c>
      <c r="J26" s="387">
        <f>MEDIAN(J3:J25)</f>
        <v>1350</v>
      </c>
      <c r="K26" s="388">
        <f>MEDIAN(K3:K25)</f>
        <v>0.60153994225216556</v>
      </c>
      <c r="L26" s="274"/>
      <c r="M26" s="387">
        <f>MEDIAN(M3:M25)</f>
        <v>26579</v>
      </c>
      <c r="N26" s="388">
        <f>MEDIAN(N3:N25)</f>
        <v>0.7137218045112782</v>
      </c>
      <c r="O26" s="388"/>
      <c r="P26" s="388">
        <f>MEDIAN(P3:P25)</f>
        <v>0.5</v>
      </c>
      <c r="Q26" s="389"/>
      <c r="R26" s="211"/>
      <c r="S26" s="211"/>
      <c r="T26" s="211"/>
      <c r="U26" s="249">
        <f>MEDIAN(U3:U25)</f>
        <v>0.82499999999999996</v>
      </c>
      <c r="V26" s="275"/>
      <c r="W26" s="276"/>
      <c r="X26" s="248">
        <f>MEDIAN(X3:X25)</f>
        <v>750</v>
      </c>
      <c r="Y26" s="211"/>
      <c r="Z26" s="211"/>
      <c r="AA26" s="211"/>
      <c r="AB26" s="211"/>
      <c r="AC26" s="211"/>
      <c r="AD26" s="211"/>
      <c r="AE26" s="210"/>
      <c r="AF26" s="210"/>
      <c r="AG26" s="248">
        <f>MEDIAN(AG3:AG25)</f>
        <v>500000</v>
      </c>
      <c r="AH26" s="248">
        <f>MEDIAN(AH3:AH25)</f>
        <v>3.5</v>
      </c>
      <c r="AI26" s="248">
        <f>MEDIAN(AI3:AI25)</f>
        <v>76433</v>
      </c>
      <c r="AJ26" s="248">
        <f>MEDIAN(AJ3:AJ25)</f>
        <v>87</v>
      </c>
      <c r="AK26" s="248">
        <f>MEDIAN(AK3:AK25)</f>
        <v>69069</v>
      </c>
      <c r="AL26" s="292"/>
      <c r="AM26" s="256"/>
      <c r="AN26" s="249">
        <f>MEDIAN(AN3:AN25)</f>
        <v>0.14016729825388613</v>
      </c>
      <c r="AO26" s="249">
        <f>MEDIAN(AO3:AO25)</f>
        <v>0.19500000000000001</v>
      </c>
      <c r="AP26" s="275"/>
      <c r="AQ26" s="211"/>
      <c r="AR26" s="211"/>
      <c r="AS26" s="288">
        <f>MEDIAN(AS3:AS25)</f>
        <v>400000</v>
      </c>
      <c r="AT26" s="256">
        <f t="shared" ref="AT26:AX26" si="80">MEDIAN(AT3:AT25)</f>
        <v>185000</v>
      </c>
      <c r="AU26" s="256">
        <f t="shared" si="80"/>
        <v>350000</v>
      </c>
      <c r="AV26" s="286">
        <f>MEDIAN(AV3:AV25)</f>
        <v>2.7428571428571429</v>
      </c>
      <c r="AW26" s="256">
        <f t="shared" si="80"/>
        <v>129.68804766912024</v>
      </c>
      <c r="AX26" s="256">
        <f t="shared" si="80"/>
        <v>2962.666666666667</v>
      </c>
      <c r="AY26" s="289"/>
      <c r="AZ26" s="211"/>
      <c r="BA26" s="286">
        <f>MEDIAN(BA3:BA25)</f>
        <v>420000</v>
      </c>
      <c r="BB26" s="415">
        <f>MEDIAN(BB3:BB25)</f>
        <v>0.99384615384615382</v>
      </c>
      <c r="BC26" s="211"/>
      <c r="BD26" s="211"/>
      <c r="BE26" s="250">
        <f>MEDIAN(BE3:BE25)</f>
        <v>1949.5</v>
      </c>
      <c r="BF26" s="278"/>
      <c r="BG26" s="264">
        <f>MEDIAN(BG3:BG25)</f>
        <v>3</v>
      </c>
      <c r="BH26" s="260">
        <f>MEDIAN(BH3:BH25)</f>
        <v>256</v>
      </c>
      <c r="BI26" s="250">
        <f>MEDIAN(BI3:BI25)</f>
        <v>2007</v>
      </c>
      <c r="BJ26" s="250"/>
      <c r="BK26" s="249">
        <f>MEDIAN(BK3:BK25)</f>
        <v>1.0042305479405694E-2</v>
      </c>
      <c r="BL26" s="275"/>
      <c r="BM26" s="250">
        <f>MEDIAN(BM3:BM25)</f>
        <v>1350</v>
      </c>
      <c r="BN26" s="250">
        <f>MEDIAN(BN3:BN25)</f>
        <v>545</v>
      </c>
      <c r="BO26" s="250">
        <f>MEDIAN(BO3:BO25)</f>
        <v>0</v>
      </c>
      <c r="BP26" s="249">
        <f>MEDIAN(BP3:BP25)</f>
        <v>1</v>
      </c>
      <c r="BQ26" s="251">
        <f>MEDIAN(BQ3:BQ25)</f>
        <v>2820972</v>
      </c>
      <c r="BR26" s="251">
        <f t="shared" ref="BR26:BS26" si="81">MEDIAN(BR3:BR25)</f>
        <v>43229</v>
      </c>
      <c r="BS26" s="251">
        <f t="shared" si="81"/>
        <v>1032665</v>
      </c>
      <c r="BT26" s="249">
        <f>MEDIAN(BT3:BT25)</f>
        <v>0.39090957715263758</v>
      </c>
      <c r="BU26" s="249"/>
      <c r="BV26" s="251">
        <f t="shared" ref="BV26" si="82">MEDIAN(BV3:BV25)</f>
        <v>642135</v>
      </c>
      <c r="BW26" s="251">
        <f t="shared" ref="BW26:CC26" si="83">MEDIAN(BW3:BW25)</f>
        <v>52096</v>
      </c>
      <c r="BX26" s="251">
        <f t="shared" si="83"/>
        <v>2075.8060941828253</v>
      </c>
      <c r="BY26" s="251">
        <f t="shared" si="83"/>
        <v>95.516363636363636</v>
      </c>
      <c r="BZ26" s="251"/>
      <c r="CA26" s="466">
        <f t="shared" si="83"/>
        <v>3</v>
      </c>
      <c r="CB26" s="251">
        <f t="shared" si="83"/>
        <v>180474</v>
      </c>
      <c r="CC26" s="251">
        <f t="shared" si="83"/>
        <v>323496</v>
      </c>
      <c r="CD26" s="251">
        <f t="shared" ref="CD26" si="84">MEDIAN(CD3:CD25)</f>
        <v>216167</v>
      </c>
      <c r="CE26" s="251">
        <f t="shared" ref="CE26" si="85">MEDIAN(CE3:CE25)</f>
        <v>256306</v>
      </c>
      <c r="CF26" s="251">
        <f t="shared" ref="CF26" si="86">MEDIAN(CF3:CF25)</f>
        <v>10743</v>
      </c>
      <c r="CG26" s="251">
        <f t="shared" ref="CG26" si="87">MEDIAN(CG3:CG25)</f>
        <v>205436</v>
      </c>
      <c r="CH26" s="251">
        <f t="shared" ref="CH26" si="88">MEDIAN(CH3:CH25)</f>
        <v>323161</v>
      </c>
      <c r="CI26" s="251">
        <f t="shared" ref="CI26" si="89">MEDIAN(CI3:CI25)</f>
        <v>85639</v>
      </c>
      <c r="CJ26" s="249">
        <f t="shared" ref="CJ26" si="90">MEDIAN(CJ3:CJ25)</f>
        <v>0.4731863545217776</v>
      </c>
      <c r="CK26" s="265">
        <f>MEDIAN(CK3:CK25)</f>
        <v>1.5548240801697022</v>
      </c>
      <c r="CL26" s="265">
        <f>MEDIAN(CL3:CL25)</f>
        <v>0.78316933665228283</v>
      </c>
      <c r="CM26" s="265">
        <f>MEDIAN(CM3:CM25)</f>
        <v>0.99896443850928607</v>
      </c>
      <c r="CN26" s="251">
        <f>MEDIAN(CN3:CN25)</f>
        <v>203.51011673151751</v>
      </c>
      <c r="CO26" s="265"/>
      <c r="CP26" s="265">
        <f>MEDIAN(CP3:CP25)</f>
        <v>1.7309509403525132</v>
      </c>
      <c r="CQ26" s="291"/>
      <c r="CR26" s="251">
        <f>MEDIAN(CR3:CR25)</f>
        <v>0</v>
      </c>
      <c r="CS26" s="251">
        <f>MEDIAN(CS3:CS25)</f>
        <v>0</v>
      </c>
      <c r="CT26" s="251">
        <f>MEDIAN(CT3:CT25)</f>
        <v>11270</v>
      </c>
      <c r="CU26" s="249">
        <f>MEDIAN(CU3:CU25)</f>
        <v>0.71622219331338621</v>
      </c>
      <c r="CV26" s="249">
        <f t="shared" ref="CV26:CX26" si="91">MEDIAN(CV3:CV25)</f>
        <v>0.13987790300546449</v>
      </c>
      <c r="CW26" s="249">
        <f t="shared" si="91"/>
        <v>0</v>
      </c>
      <c r="CX26" s="249">
        <f t="shared" si="91"/>
        <v>5.04E-2</v>
      </c>
      <c r="CY26" s="367">
        <f>MEDIAN(CY3:CY25)</f>
        <v>2002.5</v>
      </c>
      <c r="CZ26" s="367">
        <f>MEDIAN(CZ3:CZ25)</f>
        <v>2010</v>
      </c>
      <c r="DA26" s="367">
        <f>MEDIAN(DA3:DA25)</f>
        <v>2006</v>
      </c>
      <c r="DB26" s="367"/>
      <c r="DC26" s="367">
        <f>MEDIAN(DC3:DC25)</f>
        <v>38</v>
      </c>
      <c r="DD26" s="211"/>
      <c r="DE26" s="363"/>
      <c r="DF26" s="211"/>
      <c r="DG26" s="258"/>
      <c r="DH26" s="266"/>
      <c r="DI26" s="266"/>
      <c r="DJ26" s="266"/>
      <c r="DK26" s="266"/>
      <c r="DL26" s="266"/>
      <c r="DM26" s="266"/>
      <c r="DN26" s="266"/>
      <c r="DO26" s="266"/>
    </row>
    <row r="27" spans="1:119" s="209" customFormat="1">
      <c r="AS27" s="268"/>
      <c r="AT27" s="267"/>
      <c r="DD27" s="359"/>
      <c r="DM27" s="371"/>
    </row>
    <row r="28" spans="1:119" s="57" customFormat="1">
      <c r="C28" s="403"/>
      <c r="D28" s="360" t="s">
        <v>3151</v>
      </c>
      <c r="BB28" s="418">
        <f>AVERAGE(BB3,BB23,BB25)</f>
        <v>1.1255897793263647</v>
      </c>
      <c r="BC28" s="57" t="s">
        <v>2892</v>
      </c>
      <c r="BW28" s="189"/>
      <c r="BX28" s="189">
        <f>AVERAGE(BX3:BX25)</f>
        <v>2554.8270576150467</v>
      </c>
      <c r="DD28" s="360"/>
      <c r="DM28" s="370"/>
    </row>
    <row r="29" spans="1:119">
      <c r="C29" s="404"/>
      <c r="D29" s="406" t="s">
        <v>3153</v>
      </c>
      <c r="BB29" s="419">
        <f>MIN(BB3:BB25)</f>
        <v>-0.63280000000000003</v>
      </c>
      <c r="BC29" s="13" t="s">
        <v>2891</v>
      </c>
      <c r="BX29" s="190">
        <f>MIN(BX3:BX25)</f>
        <v>0</v>
      </c>
      <c r="CN29" s="3"/>
      <c r="CO29" s="3"/>
    </row>
    <row r="30" spans="1:119" s="57" customFormat="1">
      <c r="C30" s="405"/>
      <c r="D30" s="360" t="s">
        <v>3155</v>
      </c>
      <c r="BB30" s="418">
        <f>MAX(BB3:BB23,B25)</f>
        <v>3.2666666666666666</v>
      </c>
      <c r="BC30" s="57" t="s">
        <v>2890</v>
      </c>
      <c r="BR30" s="57" t="s">
        <v>3098</v>
      </c>
      <c r="BS30" s="368">
        <f>BQ21/CT21</f>
        <v>91.887649145436953</v>
      </c>
      <c r="BT30" s="360" t="s">
        <v>3099</v>
      </c>
      <c r="BW30" s="189"/>
      <c r="BX30" s="189">
        <f>MAX(BX3:BX25)</f>
        <v>9603.0177514792904</v>
      </c>
      <c r="DD30" s="360"/>
      <c r="DM30" s="370"/>
    </row>
    <row r="31" spans="1:119" s="3" customFormat="1">
      <c r="C31" s="407"/>
      <c r="D31" s="361" t="s">
        <v>3156</v>
      </c>
      <c r="H31" s="22"/>
      <c r="I31" s="24"/>
      <c r="J31" s="24"/>
      <c r="K31" s="24"/>
      <c r="L31" s="46"/>
      <c r="M31" s="41"/>
      <c r="N31" s="47"/>
      <c r="O31" s="24"/>
      <c r="P31" s="47"/>
      <c r="R31" s="60"/>
      <c r="S31" s="23"/>
      <c r="T31" s="60"/>
      <c r="U31" s="58"/>
      <c r="V31" s="48"/>
      <c r="W31" s="48"/>
      <c r="X31" s="23"/>
      <c r="Y31" s="23"/>
      <c r="Z31" s="23"/>
      <c r="AA31" s="60"/>
      <c r="AB31" s="55"/>
      <c r="AC31" s="23"/>
      <c r="AJ31" s="48"/>
      <c r="AK31" s="48"/>
      <c r="AL31" s="48"/>
      <c r="AM31" s="60"/>
      <c r="AN31" s="23"/>
      <c r="AO31" s="23"/>
      <c r="AP31" s="23"/>
      <c r="AQ31" s="54"/>
      <c r="AR31" s="23"/>
      <c r="AS31" s="23"/>
      <c r="AT31" s="60"/>
      <c r="AV31" s="23"/>
      <c r="AX31" s="49"/>
      <c r="AY31" s="50"/>
      <c r="AZ31" s="50"/>
      <c r="BA31" s="24"/>
      <c r="BB31" s="24"/>
      <c r="BC31" s="22"/>
      <c r="BD31" s="23"/>
      <c r="BF31" s="48"/>
      <c r="BG31" s="54"/>
      <c r="BL31" s="53"/>
      <c r="BM31" s="53"/>
      <c r="BO31" s="53"/>
      <c r="BP31" s="53"/>
      <c r="BQ31" s="53"/>
      <c r="BR31" s="66"/>
      <c r="BS31" s="66"/>
      <c r="BW31" s="191"/>
      <c r="BX31" s="191"/>
      <c r="BY31" s="53"/>
      <c r="BZ31" s="53"/>
      <c r="CA31" s="53"/>
      <c r="CB31" s="53"/>
      <c r="CC31" s="53"/>
      <c r="CG31" s="53"/>
      <c r="CZ31" s="23"/>
      <c r="DD31" s="361"/>
      <c r="DM31" s="373"/>
    </row>
    <row r="32" spans="1:119" s="3" customFormat="1">
      <c r="C32" s="410"/>
      <c r="D32" s="3" t="s">
        <v>3154</v>
      </c>
      <c r="H32" s="22"/>
      <c r="I32" s="24"/>
      <c r="J32" s="24"/>
      <c r="K32" s="24"/>
      <c r="L32" s="46"/>
      <c r="M32" s="41"/>
      <c r="N32" s="47"/>
      <c r="O32" s="24"/>
      <c r="P32" s="47"/>
      <c r="R32" s="60"/>
      <c r="S32" s="23"/>
      <c r="T32" s="60"/>
      <c r="U32" s="58"/>
      <c r="V32" s="48"/>
      <c r="W32" s="48"/>
      <c r="X32" s="23"/>
      <c r="Y32" s="23"/>
      <c r="Z32" s="23"/>
      <c r="AA32" s="60"/>
      <c r="AB32" s="55"/>
      <c r="AC32" s="23"/>
      <c r="AJ32" s="48"/>
      <c r="AK32" s="48"/>
      <c r="AL32" s="48"/>
      <c r="AM32" s="60"/>
      <c r="AN32" s="23"/>
      <c r="AO32" s="23"/>
      <c r="AP32" s="23"/>
      <c r="AQ32" s="54"/>
      <c r="AR32" s="23"/>
      <c r="AS32" s="23"/>
      <c r="AT32" s="60"/>
      <c r="AV32" s="23"/>
      <c r="AX32" s="49"/>
      <c r="AY32" s="50"/>
      <c r="AZ32" s="50"/>
      <c r="BA32" s="24"/>
      <c r="BB32" s="24"/>
      <c r="BC32" s="22"/>
      <c r="BD32" s="23"/>
      <c r="BF32" s="48"/>
      <c r="BG32" s="54"/>
      <c r="BL32" s="53"/>
      <c r="BM32" s="53"/>
      <c r="BO32" s="53"/>
      <c r="BP32" s="53"/>
      <c r="BQ32" s="53"/>
      <c r="BR32" s="66"/>
      <c r="BS32" s="66"/>
      <c r="BW32" s="191"/>
      <c r="BX32" s="191"/>
      <c r="BY32" s="53"/>
      <c r="BZ32" s="53"/>
      <c r="CA32" s="53"/>
      <c r="CB32" s="53"/>
      <c r="CC32" s="53"/>
      <c r="CG32" s="53"/>
      <c r="CZ32" s="23"/>
      <c r="DD32" s="361"/>
      <c r="DM32" s="373"/>
    </row>
    <row r="33" spans="8:117" s="3" customFormat="1">
      <c r="H33" s="22"/>
      <c r="I33" s="24"/>
      <c r="J33" s="24"/>
      <c r="K33" s="24"/>
      <c r="L33" s="46"/>
      <c r="M33" s="41"/>
      <c r="N33" s="47"/>
      <c r="O33" s="24"/>
      <c r="P33" s="47"/>
      <c r="R33" s="60"/>
      <c r="S33" s="23"/>
      <c r="T33" s="60"/>
      <c r="U33" s="58"/>
      <c r="V33" s="48"/>
      <c r="W33" s="48"/>
      <c r="X33" s="23"/>
      <c r="Y33" s="23"/>
      <c r="Z33" s="23"/>
      <c r="AA33" s="60"/>
      <c r="AB33" s="55"/>
      <c r="AC33" s="23"/>
      <c r="AJ33" s="48"/>
      <c r="AK33" s="48"/>
      <c r="AL33" s="48"/>
      <c r="AM33" s="60"/>
      <c r="AN33" s="23"/>
      <c r="AO33" s="23"/>
      <c r="AP33" s="23"/>
      <c r="AQ33" s="54"/>
      <c r="AR33" s="23"/>
      <c r="AS33" s="23"/>
      <c r="AT33" s="60"/>
      <c r="AV33" s="23"/>
      <c r="AX33" s="49"/>
      <c r="AY33" s="50"/>
      <c r="AZ33" s="50"/>
      <c r="BA33" s="24"/>
      <c r="BB33" s="24"/>
      <c r="BC33" s="22"/>
      <c r="BD33" s="23"/>
      <c r="BF33" s="48"/>
      <c r="BG33" s="54"/>
      <c r="BL33" s="53"/>
      <c r="BM33" s="53"/>
      <c r="BO33" s="53"/>
      <c r="BP33" s="53"/>
      <c r="BQ33" s="53"/>
      <c r="BR33" s="66"/>
      <c r="BS33" s="66"/>
      <c r="BW33" s="191"/>
      <c r="BX33" s="191"/>
      <c r="BY33" s="53"/>
      <c r="BZ33" s="53"/>
      <c r="CA33" s="53"/>
      <c r="CB33" s="53"/>
      <c r="CC33" s="53"/>
      <c r="CG33" s="53"/>
      <c r="CZ33" s="23"/>
      <c r="DD33" s="361"/>
      <c r="DM33" s="373"/>
    </row>
    <row r="34" spans="8:117" s="3" customFormat="1">
      <c r="H34" s="22"/>
      <c r="I34" s="24"/>
      <c r="J34" s="24"/>
      <c r="K34" s="24"/>
      <c r="L34" s="46"/>
      <c r="M34" s="41"/>
      <c r="N34" s="47"/>
      <c r="O34" s="24"/>
      <c r="P34" s="47"/>
      <c r="R34" s="60"/>
      <c r="S34" s="23"/>
      <c r="T34" s="60"/>
      <c r="U34" s="58"/>
      <c r="V34" s="48"/>
      <c r="W34" s="48"/>
      <c r="X34" s="23"/>
      <c r="Y34" s="23"/>
      <c r="Z34" s="23"/>
      <c r="AA34" s="60"/>
      <c r="AB34" s="55"/>
      <c r="AC34" s="23"/>
      <c r="AJ34" s="48"/>
      <c r="AK34" s="48"/>
      <c r="AL34" s="48"/>
      <c r="AM34" s="60"/>
      <c r="AN34" s="23"/>
      <c r="AO34" s="23"/>
      <c r="AP34" s="23"/>
      <c r="AQ34" s="54"/>
      <c r="AR34" s="23"/>
      <c r="AS34" s="23"/>
      <c r="AT34" s="60"/>
      <c r="AV34" s="23"/>
      <c r="AX34" s="49"/>
      <c r="AY34" s="50"/>
      <c r="AZ34" s="50"/>
      <c r="BA34" s="24"/>
      <c r="BB34" s="24"/>
      <c r="BC34" s="22"/>
      <c r="BD34" s="23"/>
      <c r="BF34" s="48"/>
      <c r="BG34" s="54"/>
      <c r="BL34" s="53"/>
      <c r="BM34" s="53"/>
      <c r="BO34" s="53"/>
      <c r="BP34" s="53"/>
      <c r="BQ34" s="53"/>
      <c r="BR34" s="66"/>
      <c r="BS34" s="66"/>
      <c r="BW34" s="191"/>
      <c r="BX34" s="191"/>
      <c r="BY34" s="53"/>
      <c r="BZ34" s="53"/>
      <c r="CA34" s="53"/>
      <c r="CB34" s="53"/>
      <c r="CC34" s="53"/>
      <c r="CG34" s="53"/>
      <c r="CZ34" s="23"/>
      <c r="DD34" s="361"/>
      <c r="DM34" s="373"/>
    </row>
    <row r="35" spans="8:117" s="3" customFormat="1">
      <c r="H35" s="22"/>
      <c r="I35" s="24"/>
      <c r="J35" s="24"/>
      <c r="K35" s="24"/>
      <c r="L35" s="46"/>
      <c r="M35" s="41"/>
      <c r="N35" s="47"/>
      <c r="O35" s="24"/>
      <c r="P35" s="47"/>
      <c r="R35" s="60"/>
      <c r="S35" s="23"/>
      <c r="T35" s="60"/>
      <c r="U35" s="58"/>
      <c r="V35" s="48"/>
      <c r="W35" s="48"/>
      <c r="X35" s="23"/>
      <c r="Y35" s="23"/>
      <c r="Z35" s="23"/>
      <c r="AA35" s="60"/>
      <c r="AB35" s="55"/>
      <c r="AC35" s="23"/>
      <c r="AJ35" s="48"/>
      <c r="AK35" s="48"/>
      <c r="AL35" s="48"/>
      <c r="AM35" s="60"/>
      <c r="AN35" s="23"/>
      <c r="AO35" s="23"/>
      <c r="AP35" s="23"/>
      <c r="AQ35" s="54"/>
      <c r="AR35" s="23"/>
      <c r="AS35" s="23"/>
      <c r="AT35" s="60"/>
      <c r="AV35" s="23"/>
      <c r="AX35" s="49"/>
      <c r="AY35" s="50"/>
      <c r="AZ35" s="50"/>
      <c r="BA35" s="24"/>
      <c r="BB35" s="24"/>
      <c r="BC35" s="22"/>
      <c r="BD35" s="23"/>
      <c r="BF35" s="48"/>
      <c r="BG35" s="54"/>
      <c r="BL35" s="53"/>
      <c r="BM35" s="53"/>
      <c r="BO35" s="53"/>
      <c r="BP35" s="53"/>
      <c r="BQ35" s="53"/>
      <c r="BR35" s="66"/>
      <c r="BS35" s="66"/>
      <c r="BW35" s="191"/>
      <c r="BX35" s="191"/>
      <c r="BY35" s="53"/>
      <c r="BZ35" s="53"/>
      <c r="CA35" s="53"/>
      <c r="CB35" s="53"/>
      <c r="CC35" s="53"/>
      <c r="CG35" s="53"/>
      <c r="CZ35" s="23"/>
      <c r="DD35" s="361"/>
      <c r="DM35" s="373"/>
    </row>
    <row r="36" spans="8:117" s="3" customFormat="1">
      <c r="H36" s="22"/>
      <c r="I36" s="24"/>
      <c r="J36" s="24"/>
      <c r="K36" s="24"/>
      <c r="L36" s="46"/>
      <c r="M36" s="41"/>
      <c r="N36" s="47"/>
      <c r="O36" s="24"/>
      <c r="P36" s="47"/>
      <c r="R36" s="60"/>
      <c r="S36" s="23"/>
      <c r="T36" s="60"/>
      <c r="U36" s="58"/>
      <c r="V36" s="48"/>
      <c r="W36" s="48"/>
      <c r="X36" s="23"/>
      <c r="Y36" s="23"/>
      <c r="Z36" s="23"/>
      <c r="AA36" s="60"/>
      <c r="AB36" s="55"/>
      <c r="AC36" s="23"/>
      <c r="AJ36" s="48"/>
      <c r="AK36" s="48"/>
      <c r="AL36" s="48"/>
      <c r="AM36" s="60"/>
      <c r="AN36" s="23"/>
      <c r="AO36" s="23"/>
      <c r="AP36" s="23"/>
      <c r="AQ36" s="54"/>
      <c r="AR36" s="23"/>
      <c r="AS36" s="23"/>
      <c r="AT36" s="60"/>
      <c r="AV36" s="23"/>
      <c r="AX36" s="49"/>
      <c r="AY36" s="50"/>
      <c r="AZ36" s="50"/>
      <c r="BA36" s="24"/>
      <c r="BB36" s="24"/>
      <c r="BC36" s="22"/>
      <c r="BD36" s="23"/>
      <c r="BF36" s="48"/>
      <c r="BG36" s="54"/>
      <c r="BL36" s="53"/>
      <c r="BM36" s="53"/>
      <c r="BO36" s="53"/>
      <c r="BP36" s="53"/>
      <c r="BQ36" s="53"/>
      <c r="BR36" s="66"/>
      <c r="BS36" s="66"/>
      <c r="BW36" s="191"/>
      <c r="BX36" s="191"/>
      <c r="BY36" s="53"/>
      <c r="BZ36" s="53"/>
      <c r="CA36" s="53"/>
      <c r="CB36" s="53"/>
      <c r="CC36" s="53"/>
      <c r="CG36" s="53"/>
      <c r="CZ36" s="23"/>
      <c r="DD36" s="361"/>
      <c r="DM36" s="373"/>
    </row>
    <row r="37" spans="8:117" s="3" customFormat="1">
      <c r="H37" s="22"/>
      <c r="I37" s="24"/>
      <c r="J37" s="24"/>
      <c r="K37" s="24"/>
      <c r="L37" s="46"/>
      <c r="M37" s="41"/>
      <c r="N37" s="47"/>
      <c r="O37" s="24"/>
      <c r="P37" s="47"/>
      <c r="R37" s="60"/>
      <c r="S37" s="23"/>
      <c r="T37" s="60"/>
      <c r="U37" s="58"/>
      <c r="V37" s="48"/>
      <c r="W37" s="48"/>
      <c r="X37" s="23"/>
      <c r="Y37" s="23"/>
      <c r="Z37" s="23"/>
      <c r="AA37" s="60"/>
      <c r="AB37" s="55"/>
      <c r="AC37" s="23"/>
      <c r="AJ37" s="48"/>
      <c r="AK37" s="48"/>
      <c r="AL37" s="48"/>
      <c r="AM37" s="60"/>
      <c r="AN37" s="23"/>
      <c r="AO37" s="23"/>
      <c r="AP37" s="23"/>
      <c r="AQ37" s="54"/>
      <c r="AR37" s="23"/>
      <c r="AS37" s="23"/>
      <c r="AT37" s="60"/>
      <c r="AV37" s="23"/>
      <c r="AX37" s="49"/>
      <c r="AY37" s="50"/>
      <c r="AZ37" s="50"/>
      <c r="BA37" s="24"/>
      <c r="BB37" s="24"/>
      <c r="BC37" s="22"/>
      <c r="BD37" s="23"/>
      <c r="BF37" s="48"/>
      <c r="BG37" s="54"/>
      <c r="BL37" s="53"/>
      <c r="BM37" s="53"/>
      <c r="BO37" s="53"/>
      <c r="BP37" s="53"/>
      <c r="BQ37" s="53"/>
      <c r="BR37" s="66"/>
      <c r="BS37" s="66"/>
      <c r="BW37" s="191"/>
      <c r="BX37" s="191"/>
      <c r="BY37" s="53"/>
      <c r="BZ37" s="53"/>
      <c r="CA37" s="53"/>
      <c r="CB37" s="53"/>
      <c r="CC37" s="53"/>
      <c r="CG37" s="53"/>
      <c r="CZ37" s="23"/>
      <c r="DD37" s="361"/>
      <c r="DM37" s="373"/>
    </row>
    <row r="38" spans="8:117" s="3" customFormat="1">
      <c r="H38" s="22"/>
      <c r="I38" s="24"/>
      <c r="J38" s="24"/>
      <c r="K38" s="24"/>
      <c r="L38" s="46"/>
      <c r="M38" s="41"/>
      <c r="N38" s="47"/>
      <c r="O38" s="24"/>
      <c r="P38" s="47"/>
      <c r="R38" s="60"/>
      <c r="S38" s="23"/>
      <c r="T38" s="60"/>
      <c r="U38" s="58"/>
      <c r="V38" s="48"/>
      <c r="W38" s="48"/>
      <c r="X38" s="23"/>
      <c r="Y38" s="23"/>
      <c r="Z38" s="23"/>
      <c r="AA38" s="60"/>
      <c r="AB38" s="55"/>
      <c r="AC38" s="23"/>
      <c r="AJ38" s="48"/>
      <c r="AK38" s="48"/>
      <c r="AL38" s="48"/>
      <c r="AM38" s="60"/>
      <c r="AN38" s="23"/>
      <c r="AO38" s="23"/>
      <c r="AP38" s="23"/>
      <c r="AQ38" s="54"/>
      <c r="AR38" s="23"/>
      <c r="AS38" s="23"/>
      <c r="AT38" s="60"/>
      <c r="AV38" s="23"/>
      <c r="AX38" s="49"/>
      <c r="AY38" s="50"/>
      <c r="AZ38" s="50"/>
      <c r="BA38" s="24"/>
      <c r="BB38" s="24"/>
      <c r="BC38" s="22"/>
      <c r="BD38" s="23"/>
      <c r="BF38" s="48"/>
      <c r="BG38" s="54"/>
      <c r="BL38" s="53"/>
      <c r="BM38" s="53"/>
      <c r="BO38" s="53"/>
      <c r="BP38" s="53"/>
      <c r="BQ38" s="53"/>
      <c r="BR38" s="66"/>
      <c r="BS38" s="66"/>
      <c r="BW38" s="191"/>
      <c r="BX38" s="191"/>
      <c r="BY38" s="53"/>
      <c r="BZ38" s="53"/>
      <c r="CA38" s="53"/>
      <c r="CB38" s="53"/>
      <c r="CC38" s="53"/>
      <c r="CG38" s="53"/>
      <c r="CZ38" s="23"/>
      <c r="DD38" s="361"/>
      <c r="DM38" s="373"/>
    </row>
    <row r="39" spans="8:117" s="3" customFormat="1">
      <c r="H39" s="22"/>
      <c r="I39" s="24"/>
      <c r="J39" s="24"/>
      <c r="K39" s="24"/>
      <c r="L39" s="46"/>
      <c r="M39" s="41"/>
      <c r="N39" s="47"/>
      <c r="O39" s="24"/>
      <c r="P39" s="47"/>
      <c r="R39" s="60"/>
      <c r="S39" s="23"/>
      <c r="T39" s="60"/>
      <c r="U39" s="58"/>
      <c r="V39" s="48"/>
      <c r="W39" s="48"/>
      <c r="X39" s="23"/>
      <c r="Y39" s="23"/>
      <c r="Z39" s="23"/>
      <c r="AA39" s="60"/>
      <c r="AB39" s="55"/>
      <c r="AC39" s="23"/>
      <c r="AJ39" s="48"/>
      <c r="AK39" s="48"/>
      <c r="AL39" s="48"/>
      <c r="AM39" s="60"/>
      <c r="AN39" s="23"/>
      <c r="AO39" s="23"/>
      <c r="AP39" s="23"/>
      <c r="AQ39" s="54"/>
      <c r="AR39" s="23"/>
      <c r="AS39" s="23"/>
      <c r="AT39" s="60"/>
      <c r="AV39" s="23"/>
      <c r="AX39" s="49"/>
      <c r="AY39" s="50"/>
      <c r="AZ39" s="50"/>
      <c r="BA39" s="24"/>
      <c r="BB39" s="24"/>
      <c r="BC39" s="22"/>
      <c r="BD39" s="23"/>
      <c r="BF39" s="48"/>
      <c r="BG39" s="54"/>
      <c r="BL39" s="53"/>
      <c r="BM39" s="53"/>
      <c r="BO39" s="53"/>
      <c r="BP39" s="53"/>
      <c r="BQ39" s="53"/>
      <c r="BR39" s="66"/>
      <c r="BS39" s="66"/>
      <c r="BW39" s="191"/>
      <c r="BX39" s="191"/>
      <c r="BY39" s="53"/>
      <c r="BZ39" s="53"/>
      <c r="CA39" s="53"/>
      <c r="CB39" s="53"/>
      <c r="CC39" s="53"/>
      <c r="CG39" s="53"/>
      <c r="CZ39" s="23"/>
      <c r="DD39" s="361"/>
      <c r="DM39" s="373"/>
    </row>
    <row r="40" spans="8:117" s="3" customFormat="1">
      <c r="H40" s="22"/>
      <c r="I40" s="24"/>
      <c r="J40" s="24"/>
      <c r="K40" s="24"/>
      <c r="L40" s="46"/>
      <c r="M40" s="41"/>
      <c r="N40" s="47"/>
      <c r="O40" s="24"/>
      <c r="P40" s="47"/>
      <c r="R40" s="60"/>
      <c r="S40" s="23"/>
      <c r="T40" s="60"/>
      <c r="U40" s="58"/>
      <c r="V40" s="48"/>
      <c r="W40" s="48"/>
      <c r="X40" s="23"/>
      <c r="Y40" s="23"/>
      <c r="Z40" s="23"/>
      <c r="AA40" s="60"/>
      <c r="AB40" s="55"/>
      <c r="AC40" s="23"/>
      <c r="AJ40" s="48"/>
      <c r="AK40" s="48"/>
      <c r="AL40" s="48"/>
      <c r="AM40" s="60"/>
      <c r="AN40" s="23"/>
      <c r="AO40" s="23"/>
      <c r="AP40" s="23"/>
      <c r="AQ40" s="54"/>
      <c r="AR40" s="23"/>
      <c r="AS40" s="23"/>
      <c r="AT40" s="60"/>
      <c r="AV40" s="23"/>
      <c r="AX40" s="49"/>
      <c r="AY40" s="50"/>
      <c r="AZ40" s="50"/>
      <c r="BA40" s="24"/>
      <c r="BB40" s="24"/>
      <c r="BC40" s="22"/>
      <c r="BD40" s="23"/>
      <c r="BF40" s="48"/>
      <c r="BG40" s="54"/>
      <c r="BL40" s="53"/>
      <c r="BM40" s="53"/>
      <c r="BO40" s="53"/>
      <c r="BP40" s="53"/>
      <c r="BQ40" s="53"/>
      <c r="BR40" s="66"/>
      <c r="BS40" s="66"/>
      <c r="BW40" s="191"/>
      <c r="BX40" s="191"/>
      <c r="BY40" s="53"/>
      <c r="BZ40" s="53"/>
      <c r="CA40" s="53"/>
      <c r="CB40" s="53"/>
      <c r="CC40" s="53"/>
      <c r="CG40" s="53"/>
      <c r="CZ40" s="23"/>
      <c r="DD40" s="361"/>
      <c r="DM40" s="373"/>
    </row>
    <row r="41" spans="8:117" s="3" customFormat="1">
      <c r="H41" s="22"/>
      <c r="I41" s="24"/>
      <c r="J41" s="24"/>
      <c r="K41" s="24"/>
      <c r="L41" s="46"/>
      <c r="M41" s="41"/>
      <c r="N41" s="47"/>
      <c r="O41" s="24"/>
      <c r="P41" s="47"/>
      <c r="R41" s="60"/>
      <c r="S41" s="23"/>
      <c r="T41" s="60"/>
      <c r="U41" s="58"/>
      <c r="V41" s="48"/>
      <c r="W41" s="48"/>
      <c r="X41" s="23"/>
      <c r="Y41" s="23"/>
      <c r="Z41" s="23"/>
      <c r="AA41" s="60"/>
      <c r="AB41" s="55"/>
      <c r="AC41" s="23"/>
      <c r="AJ41" s="48"/>
      <c r="AK41" s="48"/>
      <c r="AL41" s="48"/>
      <c r="AM41" s="60"/>
      <c r="AN41" s="23"/>
      <c r="AO41" s="23"/>
      <c r="AP41" s="23"/>
      <c r="AQ41" s="54"/>
      <c r="AR41" s="23"/>
      <c r="AS41" s="23"/>
      <c r="AT41" s="60"/>
      <c r="AV41" s="23"/>
      <c r="AX41" s="49"/>
      <c r="AY41" s="50"/>
      <c r="AZ41" s="50"/>
      <c r="BA41" s="24"/>
      <c r="BB41" s="24"/>
      <c r="BC41" s="22"/>
      <c r="BD41" s="23"/>
      <c r="BF41" s="48"/>
      <c r="BG41" s="54"/>
      <c r="BL41" s="53"/>
      <c r="BM41" s="53"/>
      <c r="BO41" s="53"/>
      <c r="BP41" s="53"/>
      <c r="BQ41" s="53"/>
      <c r="BR41" s="66"/>
      <c r="BS41" s="66"/>
      <c r="BW41" s="191"/>
      <c r="BX41" s="191"/>
      <c r="BY41" s="53"/>
      <c r="BZ41" s="53"/>
      <c r="CA41" s="53"/>
      <c r="CB41" s="53"/>
      <c r="CC41" s="53"/>
      <c r="CG41" s="53"/>
      <c r="CZ41" s="23"/>
      <c r="DD41" s="361"/>
      <c r="DM41" s="373"/>
    </row>
    <row r="42" spans="8:117" s="3" customFormat="1">
      <c r="H42" s="22"/>
      <c r="I42" s="24"/>
      <c r="J42" s="24"/>
      <c r="K42" s="24"/>
      <c r="L42" s="46"/>
      <c r="M42" s="41"/>
      <c r="N42" s="47"/>
      <c r="O42" s="24"/>
      <c r="P42" s="47"/>
      <c r="R42" s="60"/>
      <c r="S42" s="23"/>
      <c r="T42" s="60"/>
      <c r="U42" s="58"/>
      <c r="V42" s="48"/>
      <c r="W42" s="48"/>
      <c r="X42" s="23"/>
      <c r="Y42" s="23"/>
      <c r="Z42" s="23"/>
      <c r="AA42" s="60"/>
      <c r="AB42" s="55"/>
      <c r="AC42" s="23"/>
      <c r="AJ42" s="48"/>
      <c r="AK42" s="48"/>
      <c r="AL42" s="48"/>
      <c r="AM42" s="60"/>
      <c r="AN42" s="23"/>
      <c r="AO42" s="23"/>
      <c r="AP42" s="23"/>
      <c r="AQ42" s="54"/>
      <c r="AR42" s="23"/>
      <c r="AS42" s="23"/>
      <c r="AT42" s="60"/>
      <c r="AV42" s="23"/>
      <c r="AX42" s="49"/>
      <c r="AY42" s="50"/>
      <c r="AZ42" s="50"/>
      <c r="BA42" s="24"/>
      <c r="BB42" s="24"/>
      <c r="BC42" s="22"/>
      <c r="BD42" s="23"/>
      <c r="BF42" s="48"/>
      <c r="BG42" s="54"/>
      <c r="BL42" s="53"/>
      <c r="BM42" s="53"/>
      <c r="BO42" s="53"/>
      <c r="BP42" s="53"/>
      <c r="BQ42" s="53"/>
      <c r="BR42" s="66"/>
      <c r="BS42" s="66"/>
      <c r="BW42" s="191"/>
      <c r="BX42" s="191"/>
      <c r="BY42" s="53"/>
      <c r="BZ42" s="53"/>
      <c r="CA42" s="53"/>
      <c r="CB42" s="53"/>
      <c r="CC42" s="53"/>
      <c r="CG42" s="53"/>
      <c r="CZ42" s="23"/>
      <c r="DD42" s="361"/>
      <c r="DM42" s="373"/>
    </row>
    <row r="43" spans="8:117" s="3" customFormat="1">
      <c r="H43" s="22"/>
      <c r="I43" s="24"/>
      <c r="J43" s="24"/>
      <c r="K43" s="24"/>
      <c r="L43" s="46"/>
      <c r="M43" s="41"/>
      <c r="N43" s="47"/>
      <c r="O43" s="24"/>
      <c r="P43" s="47"/>
      <c r="R43" s="60"/>
      <c r="S43" s="23"/>
      <c r="T43" s="60"/>
      <c r="U43" s="58"/>
      <c r="V43" s="48"/>
      <c r="W43" s="48"/>
      <c r="X43" s="23"/>
      <c r="Y43" s="23"/>
      <c r="Z43" s="23"/>
      <c r="AA43" s="60"/>
      <c r="AB43" s="55"/>
      <c r="AC43" s="23"/>
      <c r="AJ43" s="48"/>
      <c r="AK43" s="48"/>
      <c r="AL43" s="48"/>
      <c r="AM43" s="60"/>
      <c r="AN43" s="23"/>
      <c r="AO43" s="23"/>
      <c r="AP43" s="23"/>
      <c r="AQ43" s="54"/>
      <c r="AR43" s="23"/>
      <c r="AS43" s="23"/>
      <c r="AT43" s="60"/>
      <c r="AV43" s="23"/>
      <c r="AX43" s="49"/>
      <c r="AY43" s="50"/>
      <c r="AZ43" s="50"/>
      <c r="BA43" s="24"/>
      <c r="BB43" s="24"/>
      <c r="BC43" s="22"/>
      <c r="BD43" s="23"/>
      <c r="BF43" s="48"/>
      <c r="BG43" s="54"/>
      <c r="BL43" s="53"/>
      <c r="BM43" s="53"/>
      <c r="BO43" s="53"/>
      <c r="BP43" s="53"/>
      <c r="BQ43" s="53"/>
      <c r="BR43" s="66"/>
      <c r="BS43" s="66"/>
      <c r="BW43" s="191"/>
      <c r="BX43" s="191"/>
      <c r="BY43" s="53"/>
      <c r="BZ43" s="53"/>
      <c r="CA43" s="53"/>
      <c r="CB43" s="53"/>
      <c r="CC43" s="53"/>
      <c r="CG43" s="53"/>
      <c r="CZ43" s="23"/>
      <c r="DD43" s="361"/>
      <c r="DM43" s="373"/>
    </row>
    <row r="44" spans="8:117" s="3" customFormat="1">
      <c r="H44" s="22"/>
      <c r="I44" s="24"/>
      <c r="J44" s="24"/>
      <c r="K44" s="24"/>
      <c r="L44" s="46"/>
      <c r="M44" s="41"/>
      <c r="N44" s="47"/>
      <c r="O44" s="24"/>
      <c r="P44" s="47"/>
      <c r="R44" s="60"/>
      <c r="S44" s="23"/>
      <c r="T44" s="60"/>
      <c r="U44" s="58"/>
      <c r="V44" s="48"/>
      <c r="W44" s="48"/>
      <c r="X44" s="23"/>
      <c r="Y44" s="23"/>
      <c r="Z44" s="23"/>
      <c r="AA44" s="60"/>
      <c r="AB44" s="55"/>
      <c r="AC44" s="23"/>
      <c r="AJ44" s="48"/>
      <c r="AK44" s="48"/>
      <c r="AL44" s="48"/>
      <c r="AM44" s="60"/>
      <c r="AN44" s="23"/>
      <c r="AO44" s="23"/>
      <c r="AP44" s="23"/>
      <c r="AQ44" s="54"/>
      <c r="AR44" s="23"/>
      <c r="AS44" s="23"/>
      <c r="AT44" s="60"/>
      <c r="AV44" s="23"/>
      <c r="AX44" s="49"/>
      <c r="AY44" s="50"/>
      <c r="AZ44" s="50"/>
      <c r="BA44" s="24"/>
      <c r="BB44" s="24"/>
      <c r="BC44" s="22"/>
      <c r="BD44" s="23"/>
      <c r="BF44" s="48"/>
      <c r="BG44" s="54"/>
      <c r="BL44" s="53"/>
      <c r="BM44" s="53"/>
      <c r="BO44" s="53"/>
      <c r="BP44" s="53"/>
      <c r="BQ44" s="53"/>
      <c r="BR44" s="66"/>
      <c r="BS44" s="66"/>
      <c r="BW44" s="191"/>
      <c r="BX44" s="191"/>
      <c r="BY44" s="53"/>
      <c r="BZ44" s="53"/>
      <c r="CA44" s="53"/>
      <c r="CB44" s="53"/>
      <c r="CC44" s="53"/>
      <c r="CG44" s="53"/>
      <c r="CZ44" s="23"/>
      <c r="DD44" s="361"/>
      <c r="DM44" s="373"/>
    </row>
    <row r="45" spans="8:117" s="3" customFormat="1">
      <c r="H45" s="22"/>
      <c r="I45" s="24"/>
      <c r="J45" s="24"/>
      <c r="K45" s="24"/>
      <c r="L45" s="46"/>
      <c r="M45" s="41"/>
      <c r="N45" s="47"/>
      <c r="O45" s="24"/>
      <c r="P45" s="47"/>
      <c r="R45" s="60"/>
      <c r="S45" s="23"/>
      <c r="T45" s="60"/>
      <c r="U45" s="58"/>
      <c r="V45" s="48"/>
      <c r="W45" s="48"/>
      <c r="X45" s="23"/>
      <c r="Y45" s="23"/>
      <c r="Z45" s="23"/>
      <c r="AA45" s="60"/>
      <c r="AB45" s="55"/>
      <c r="AC45" s="23"/>
      <c r="AJ45" s="48"/>
      <c r="AK45" s="48"/>
      <c r="AL45" s="48"/>
      <c r="AM45" s="60"/>
      <c r="AN45" s="23"/>
      <c r="AO45" s="23"/>
      <c r="AP45" s="23"/>
      <c r="AQ45" s="54"/>
      <c r="AR45" s="23"/>
      <c r="AS45" s="23"/>
      <c r="AT45" s="60"/>
      <c r="AV45" s="23"/>
      <c r="AX45" s="49"/>
      <c r="AY45" s="50"/>
      <c r="AZ45" s="50"/>
      <c r="BA45" s="24"/>
      <c r="BB45" s="24"/>
      <c r="BC45" s="22"/>
      <c r="BD45" s="23"/>
      <c r="BF45" s="48"/>
      <c r="BG45" s="54"/>
      <c r="BL45" s="53"/>
      <c r="BM45" s="53"/>
      <c r="BO45" s="53"/>
      <c r="BP45" s="53"/>
      <c r="BQ45" s="53"/>
      <c r="BR45" s="66"/>
      <c r="BS45" s="66"/>
      <c r="BW45" s="191"/>
      <c r="BX45" s="191"/>
      <c r="BY45" s="53"/>
      <c r="BZ45" s="53"/>
      <c r="CA45" s="53"/>
      <c r="CB45" s="53"/>
      <c r="CC45" s="53"/>
      <c r="CG45" s="53"/>
      <c r="CZ45" s="23"/>
      <c r="DD45" s="361"/>
      <c r="DM45" s="373"/>
    </row>
    <row r="46" spans="8:117" s="3" customFormat="1">
      <c r="H46" s="22"/>
      <c r="I46" s="24"/>
      <c r="J46" s="24"/>
      <c r="K46" s="24"/>
      <c r="L46" s="46"/>
      <c r="M46" s="41"/>
      <c r="N46" s="47"/>
      <c r="O46" s="24"/>
      <c r="P46" s="47"/>
      <c r="R46" s="60"/>
      <c r="S46" s="23"/>
      <c r="T46" s="60"/>
      <c r="U46" s="58"/>
      <c r="V46" s="48"/>
      <c r="W46" s="48"/>
      <c r="X46" s="23"/>
      <c r="Y46" s="23"/>
      <c r="Z46" s="23"/>
      <c r="AA46" s="60"/>
      <c r="AB46" s="55"/>
      <c r="AC46" s="23"/>
      <c r="AJ46" s="48"/>
      <c r="AK46" s="48"/>
      <c r="AL46" s="48"/>
      <c r="AM46" s="60"/>
      <c r="AN46" s="23"/>
      <c r="AO46" s="23"/>
      <c r="AP46" s="23"/>
      <c r="AQ46" s="54"/>
      <c r="AR46" s="23"/>
      <c r="AS46" s="23"/>
      <c r="AT46" s="60"/>
      <c r="AV46" s="23"/>
      <c r="AX46" s="49"/>
      <c r="AY46" s="50"/>
      <c r="AZ46" s="50"/>
      <c r="BA46" s="24"/>
      <c r="BB46" s="24"/>
      <c r="BC46" s="22"/>
      <c r="BD46" s="23"/>
      <c r="BF46" s="48"/>
      <c r="BG46" s="54"/>
      <c r="BL46" s="53"/>
      <c r="BM46" s="53"/>
      <c r="BO46" s="53"/>
      <c r="BP46" s="53"/>
      <c r="BQ46" s="53"/>
      <c r="BR46" s="66"/>
      <c r="BS46" s="66"/>
      <c r="BW46" s="191"/>
      <c r="BX46" s="191"/>
      <c r="BY46" s="53"/>
      <c r="BZ46" s="53"/>
      <c r="CA46" s="53"/>
      <c r="CB46" s="53"/>
      <c r="CC46" s="53"/>
      <c r="CG46" s="53"/>
      <c r="CZ46" s="23"/>
      <c r="DD46" s="361"/>
      <c r="DM46" s="373"/>
    </row>
    <row r="47" spans="8:117" s="3" customFormat="1">
      <c r="H47" s="22"/>
      <c r="I47" s="24"/>
      <c r="J47" s="24"/>
      <c r="K47" s="24"/>
      <c r="L47" s="46"/>
      <c r="M47" s="41"/>
      <c r="N47" s="47"/>
      <c r="O47" s="24"/>
      <c r="P47" s="47"/>
      <c r="R47" s="60"/>
      <c r="S47" s="23"/>
      <c r="T47" s="60"/>
      <c r="U47" s="58"/>
      <c r="V47" s="48"/>
      <c r="W47" s="48"/>
      <c r="X47" s="23"/>
      <c r="Y47" s="23"/>
      <c r="Z47" s="23"/>
      <c r="AA47" s="60"/>
      <c r="AB47" s="55"/>
      <c r="AC47" s="23"/>
      <c r="AJ47" s="48"/>
      <c r="AK47" s="48"/>
      <c r="AL47" s="48"/>
      <c r="AM47" s="60"/>
      <c r="AN47" s="23"/>
      <c r="AO47" s="23"/>
      <c r="AP47" s="23"/>
      <c r="AQ47" s="54"/>
      <c r="AR47" s="23"/>
      <c r="AS47" s="23"/>
      <c r="AT47" s="60"/>
      <c r="AV47" s="23"/>
      <c r="AX47" s="49"/>
      <c r="AY47" s="50"/>
      <c r="AZ47" s="50"/>
      <c r="BA47" s="24"/>
      <c r="BB47" s="24"/>
      <c r="BC47" s="22"/>
      <c r="BD47" s="23"/>
      <c r="BF47" s="48"/>
      <c r="BG47" s="54"/>
      <c r="BL47" s="53"/>
      <c r="BM47" s="53"/>
      <c r="BO47" s="53"/>
      <c r="BP47" s="53"/>
      <c r="BQ47" s="53"/>
      <c r="BR47" s="66"/>
      <c r="BS47" s="66"/>
      <c r="BW47" s="191"/>
      <c r="BX47" s="191"/>
      <c r="BY47" s="53"/>
      <c r="BZ47" s="53"/>
      <c r="CA47" s="53"/>
      <c r="CB47" s="53"/>
      <c r="CC47" s="53"/>
      <c r="CG47" s="53"/>
      <c r="CZ47" s="23"/>
      <c r="DD47" s="361"/>
      <c r="DM47" s="373"/>
    </row>
    <row r="48" spans="8:117" s="3" customFormat="1">
      <c r="H48" s="22"/>
      <c r="I48" s="24"/>
      <c r="J48" s="24"/>
      <c r="K48" s="24"/>
      <c r="L48" s="46"/>
      <c r="M48" s="41"/>
      <c r="N48" s="47"/>
      <c r="O48" s="24"/>
      <c r="P48" s="47"/>
      <c r="R48" s="60"/>
      <c r="S48" s="23"/>
      <c r="T48" s="60"/>
      <c r="U48" s="58"/>
      <c r="V48" s="48"/>
      <c r="W48" s="48"/>
      <c r="X48" s="23"/>
      <c r="Y48" s="23"/>
      <c r="Z48" s="23"/>
      <c r="AA48" s="60"/>
      <c r="AB48" s="55"/>
      <c r="AC48" s="23"/>
      <c r="AJ48" s="48"/>
      <c r="AK48" s="48"/>
      <c r="AL48" s="48"/>
      <c r="AM48" s="60"/>
      <c r="AN48" s="23"/>
      <c r="AO48" s="23"/>
      <c r="AP48" s="23"/>
      <c r="AQ48" s="54"/>
      <c r="AR48" s="23"/>
      <c r="AS48" s="23"/>
      <c r="AT48" s="60"/>
      <c r="AV48" s="23"/>
      <c r="AX48" s="49"/>
      <c r="AY48" s="50"/>
      <c r="AZ48" s="50"/>
      <c r="BA48" s="24"/>
      <c r="BB48" s="24"/>
      <c r="BC48" s="22"/>
      <c r="BD48" s="23"/>
      <c r="BF48" s="48"/>
      <c r="BG48" s="54"/>
      <c r="BL48" s="53"/>
      <c r="BM48" s="53"/>
      <c r="BO48" s="53"/>
      <c r="BP48" s="53"/>
      <c r="BQ48" s="53"/>
      <c r="BR48" s="66"/>
      <c r="BS48" s="66"/>
      <c r="BW48" s="191"/>
      <c r="BX48" s="191"/>
      <c r="BY48" s="53"/>
      <c r="BZ48" s="53"/>
      <c r="CA48" s="53"/>
      <c r="CB48" s="53"/>
      <c r="CC48" s="53"/>
      <c r="CG48" s="53"/>
      <c r="CZ48" s="23"/>
      <c r="DD48" s="361"/>
      <c r="DM48" s="373"/>
    </row>
    <row r="49" spans="8:117" s="3" customFormat="1">
      <c r="H49" s="22"/>
      <c r="I49" s="24"/>
      <c r="J49" s="24"/>
      <c r="K49" s="24"/>
      <c r="L49" s="46"/>
      <c r="M49" s="41"/>
      <c r="N49" s="47"/>
      <c r="O49" s="24"/>
      <c r="P49" s="47"/>
      <c r="R49" s="60"/>
      <c r="S49" s="23"/>
      <c r="T49" s="60"/>
      <c r="U49" s="58"/>
      <c r="V49" s="48"/>
      <c r="W49" s="48"/>
      <c r="X49" s="23"/>
      <c r="Y49" s="23"/>
      <c r="Z49" s="23"/>
      <c r="AA49" s="60"/>
      <c r="AB49" s="55"/>
      <c r="AC49" s="23"/>
      <c r="AJ49" s="48"/>
      <c r="AK49" s="48"/>
      <c r="AL49" s="48"/>
      <c r="AM49" s="60"/>
      <c r="AN49" s="23"/>
      <c r="AO49" s="23"/>
      <c r="AP49" s="23"/>
      <c r="AQ49" s="54"/>
      <c r="AR49" s="23"/>
      <c r="AS49" s="23"/>
      <c r="AT49" s="60"/>
      <c r="AV49" s="23"/>
      <c r="AX49" s="49"/>
      <c r="AY49" s="50"/>
      <c r="AZ49" s="50"/>
      <c r="BA49" s="24"/>
      <c r="BB49" s="24"/>
      <c r="BC49" s="22"/>
      <c r="BD49" s="23"/>
      <c r="BF49" s="48"/>
      <c r="BG49" s="54"/>
      <c r="BL49" s="53"/>
      <c r="BM49" s="53"/>
      <c r="BO49" s="53"/>
      <c r="BP49" s="53"/>
      <c r="BQ49" s="53"/>
      <c r="BR49" s="66"/>
      <c r="BS49" s="66"/>
      <c r="BW49" s="191"/>
      <c r="BX49" s="191"/>
      <c r="BY49" s="53"/>
      <c r="BZ49" s="53"/>
      <c r="CA49" s="53"/>
      <c r="CB49" s="53"/>
      <c r="CC49" s="53"/>
      <c r="CG49" s="53"/>
      <c r="CZ49" s="23"/>
      <c r="DD49" s="361"/>
      <c r="DM49" s="373"/>
    </row>
    <row r="50" spans="8:117" s="3" customFormat="1">
      <c r="H50" s="22"/>
      <c r="I50" s="24"/>
      <c r="J50" s="24"/>
      <c r="K50" s="24"/>
      <c r="L50" s="46"/>
      <c r="M50" s="41"/>
      <c r="N50" s="47"/>
      <c r="O50" s="24"/>
      <c r="P50" s="47"/>
      <c r="R50" s="60"/>
      <c r="S50" s="23"/>
      <c r="T50" s="60"/>
      <c r="U50" s="58"/>
      <c r="V50" s="48"/>
      <c r="W50" s="48"/>
      <c r="X50" s="23"/>
      <c r="Y50" s="23"/>
      <c r="Z50" s="23"/>
      <c r="AA50" s="60"/>
      <c r="AB50" s="55"/>
      <c r="AC50" s="23"/>
      <c r="AJ50" s="48"/>
      <c r="AK50" s="48"/>
      <c r="AL50" s="48"/>
      <c r="AM50" s="60"/>
      <c r="AN50" s="23"/>
      <c r="AO50" s="23"/>
      <c r="AP50" s="23"/>
      <c r="AQ50" s="54"/>
      <c r="AR50" s="23"/>
      <c r="AS50" s="23"/>
      <c r="AT50" s="60"/>
      <c r="AV50" s="23"/>
      <c r="AX50" s="49"/>
      <c r="AY50" s="50"/>
      <c r="AZ50" s="50"/>
      <c r="BA50" s="24"/>
      <c r="BB50" s="24"/>
      <c r="BC50" s="22"/>
      <c r="BD50" s="23"/>
      <c r="BF50" s="48"/>
      <c r="BG50" s="54"/>
      <c r="BL50" s="53"/>
      <c r="BM50" s="53"/>
      <c r="BO50" s="53"/>
      <c r="BP50" s="53"/>
      <c r="BQ50" s="53"/>
      <c r="BR50" s="66"/>
      <c r="BS50" s="66"/>
      <c r="BW50" s="191"/>
      <c r="BX50" s="191"/>
      <c r="BY50" s="53"/>
      <c r="BZ50" s="53"/>
      <c r="CA50" s="53"/>
      <c r="CB50" s="53"/>
      <c r="CC50" s="53"/>
      <c r="CG50" s="53"/>
      <c r="CZ50" s="23"/>
      <c r="DD50" s="361"/>
      <c r="DM50" s="373"/>
    </row>
    <row r="51" spans="8:117" s="3" customFormat="1">
      <c r="H51" s="22"/>
      <c r="I51" s="24"/>
      <c r="J51" s="24"/>
      <c r="K51" s="24"/>
      <c r="L51" s="46"/>
      <c r="M51" s="41"/>
      <c r="N51" s="47"/>
      <c r="O51" s="24"/>
      <c r="P51" s="47"/>
      <c r="R51" s="60"/>
      <c r="S51" s="23"/>
      <c r="T51" s="60"/>
      <c r="U51" s="58"/>
      <c r="V51" s="48"/>
      <c r="W51" s="48"/>
      <c r="X51" s="23"/>
      <c r="Y51" s="23"/>
      <c r="Z51" s="23"/>
      <c r="AA51" s="60"/>
      <c r="AB51" s="55"/>
      <c r="AC51" s="23"/>
      <c r="AJ51" s="48"/>
      <c r="AK51" s="48"/>
      <c r="AL51" s="48"/>
      <c r="AM51" s="60"/>
      <c r="AN51" s="23"/>
      <c r="AO51" s="23"/>
      <c r="AP51" s="23"/>
      <c r="AQ51" s="54"/>
      <c r="AR51" s="23"/>
      <c r="AS51" s="23"/>
      <c r="AT51" s="60"/>
      <c r="AV51" s="23"/>
      <c r="AX51" s="49"/>
      <c r="AY51" s="50"/>
      <c r="AZ51" s="50"/>
      <c r="BA51" s="24"/>
      <c r="BB51" s="24"/>
      <c r="BC51" s="22"/>
      <c r="BD51" s="23"/>
      <c r="BF51" s="48"/>
      <c r="BG51" s="54"/>
      <c r="BL51" s="53"/>
      <c r="BM51" s="53"/>
      <c r="BO51" s="53"/>
      <c r="BP51" s="53"/>
      <c r="BQ51" s="53"/>
      <c r="BR51" s="66"/>
      <c r="BS51" s="66"/>
      <c r="BW51" s="191"/>
      <c r="BX51" s="191"/>
      <c r="BY51" s="53"/>
      <c r="BZ51" s="53"/>
      <c r="CA51" s="53"/>
      <c r="CB51" s="53"/>
      <c r="CC51" s="53"/>
      <c r="CG51" s="53"/>
      <c r="CZ51" s="23"/>
      <c r="DD51" s="361"/>
      <c r="DM51" s="373"/>
    </row>
    <row r="52" spans="8:117" s="3" customFormat="1">
      <c r="H52" s="22"/>
      <c r="I52" s="24"/>
      <c r="J52" s="24"/>
      <c r="K52" s="24"/>
      <c r="L52" s="46"/>
      <c r="M52" s="41"/>
      <c r="N52" s="47"/>
      <c r="O52" s="24"/>
      <c r="P52" s="47"/>
      <c r="R52" s="60"/>
      <c r="S52" s="23"/>
      <c r="T52" s="60"/>
      <c r="U52" s="58"/>
      <c r="V52" s="48"/>
      <c r="W52" s="48"/>
      <c r="X52" s="23"/>
      <c r="Y52" s="23"/>
      <c r="Z52" s="23"/>
      <c r="AA52" s="60"/>
      <c r="AB52" s="55"/>
      <c r="AC52" s="23"/>
      <c r="AJ52" s="48"/>
      <c r="AK52" s="48"/>
      <c r="AL52" s="48"/>
      <c r="AM52" s="60"/>
      <c r="AN52" s="23"/>
      <c r="AO52" s="23"/>
      <c r="AP52" s="23"/>
      <c r="AQ52" s="54"/>
      <c r="AR52" s="23"/>
      <c r="AS52" s="23"/>
      <c r="AT52" s="60"/>
      <c r="AV52" s="23"/>
      <c r="AX52" s="49"/>
      <c r="AY52" s="50"/>
      <c r="AZ52" s="50"/>
      <c r="BA52" s="24"/>
      <c r="BB52" s="24"/>
      <c r="BC52" s="22"/>
      <c r="BD52" s="23"/>
      <c r="BF52" s="48"/>
      <c r="BG52" s="54"/>
      <c r="BL52" s="53"/>
      <c r="BM52" s="53"/>
      <c r="BO52" s="53"/>
      <c r="BP52" s="53"/>
      <c r="BQ52" s="53"/>
      <c r="BR52" s="66"/>
      <c r="BS52" s="66"/>
      <c r="BW52" s="191"/>
      <c r="BX52" s="191"/>
      <c r="BY52" s="53"/>
      <c r="BZ52" s="53"/>
      <c r="CA52" s="53"/>
      <c r="CB52" s="53"/>
      <c r="CC52" s="53"/>
      <c r="CG52" s="53"/>
      <c r="CZ52" s="23"/>
      <c r="DD52" s="361"/>
      <c r="DM52" s="373"/>
    </row>
    <row r="53" spans="8:117" s="3" customFormat="1">
      <c r="H53" s="22"/>
      <c r="I53" s="24"/>
      <c r="J53" s="24"/>
      <c r="K53" s="24"/>
      <c r="L53" s="46"/>
      <c r="M53" s="41"/>
      <c r="N53" s="47"/>
      <c r="O53" s="24"/>
      <c r="P53" s="47"/>
      <c r="R53" s="60"/>
      <c r="S53" s="23"/>
      <c r="T53" s="60"/>
      <c r="U53" s="58"/>
      <c r="V53" s="48"/>
      <c r="W53" s="48"/>
      <c r="X53" s="23"/>
      <c r="Y53" s="23"/>
      <c r="Z53" s="23"/>
      <c r="AA53" s="60"/>
      <c r="AB53" s="55"/>
      <c r="AC53" s="23"/>
      <c r="AJ53" s="48"/>
      <c r="AK53" s="48"/>
      <c r="AL53" s="48"/>
      <c r="AM53" s="60"/>
      <c r="AN53" s="23"/>
      <c r="AO53" s="23"/>
      <c r="AP53" s="23"/>
      <c r="AQ53" s="54"/>
      <c r="AR53" s="23"/>
      <c r="AS53" s="23"/>
      <c r="AT53" s="60"/>
      <c r="AV53" s="23"/>
      <c r="AX53" s="49"/>
      <c r="AY53" s="50"/>
      <c r="AZ53" s="50"/>
      <c r="BA53" s="24"/>
      <c r="BB53" s="24"/>
      <c r="BC53" s="22"/>
      <c r="BD53" s="23"/>
      <c r="BF53" s="48"/>
      <c r="BG53" s="54"/>
      <c r="BL53" s="53"/>
      <c r="BM53" s="53"/>
      <c r="BO53" s="53"/>
      <c r="BP53" s="53"/>
      <c r="BQ53" s="53"/>
      <c r="BR53" s="66"/>
      <c r="BS53" s="66"/>
      <c r="BW53" s="191"/>
      <c r="BX53" s="191"/>
      <c r="BY53" s="53"/>
      <c r="BZ53" s="53"/>
      <c r="CA53" s="53"/>
      <c r="CB53" s="53"/>
      <c r="CC53" s="53"/>
      <c r="CG53" s="53"/>
      <c r="CZ53" s="23"/>
      <c r="DD53" s="361"/>
      <c r="DM53" s="373"/>
    </row>
    <row r="54" spans="8:117" s="3" customFormat="1">
      <c r="H54" s="22"/>
      <c r="I54" s="24"/>
      <c r="J54" s="24"/>
      <c r="K54" s="24"/>
      <c r="L54" s="46"/>
      <c r="M54" s="41"/>
      <c r="N54" s="47"/>
      <c r="O54" s="24"/>
      <c r="P54" s="47"/>
      <c r="R54" s="60"/>
      <c r="S54" s="23"/>
      <c r="T54" s="60"/>
      <c r="U54" s="58"/>
      <c r="V54" s="48"/>
      <c r="W54" s="48"/>
      <c r="X54" s="23"/>
      <c r="Y54" s="23"/>
      <c r="Z54" s="23"/>
      <c r="AA54" s="60"/>
      <c r="AB54" s="55"/>
      <c r="AC54" s="23"/>
      <c r="AJ54" s="48"/>
      <c r="AK54" s="48"/>
      <c r="AL54" s="48"/>
      <c r="AM54" s="60"/>
      <c r="AN54" s="23"/>
      <c r="AO54" s="23"/>
      <c r="AP54" s="23"/>
      <c r="AQ54" s="54"/>
      <c r="AR54" s="23"/>
      <c r="AS54" s="23"/>
      <c r="AT54" s="60"/>
      <c r="AV54" s="23"/>
      <c r="AX54" s="49"/>
      <c r="AY54" s="50"/>
      <c r="AZ54" s="50"/>
      <c r="BA54" s="24"/>
      <c r="BB54" s="24"/>
      <c r="BC54" s="22"/>
      <c r="BD54" s="23"/>
      <c r="BF54" s="48"/>
      <c r="BG54" s="54"/>
      <c r="BL54" s="53"/>
      <c r="BM54" s="53"/>
      <c r="BO54" s="53"/>
      <c r="BP54" s="53"/>
      <c r="BQ54" s="53"/>
      <c r="BR54" s="66"/>
      <c r="BS54" s="66"/>
      <c r="BW54" s="191"/>
      <c r="BX54" s="191"/>
      <c r="BY54" s="53"/>
      <c r="BZ54" s="53"/>
      <c r="CA54" s="53"/>
      <c r="CB54" s="53"/>
      <c r="CC54" s="53"/>
      <c r="CG54" s="53"/>
      <c r="CZ54" s="23"/>
      <c r="DD54" s="361"/>
      <c r="DM54" s="373"/>
    </row>
    <row r="55" spans="8:117" s="3" customFormat="1">
      <c r="H55" s="22"/>
      <c r="I55" s="24"/>
      <c r="J55" s="24"/>
      <c r="K55" s="24"/>
      <c r="L55" s="46"/>
      <c r="M55" s="41"/>
      <c r="N55" s="47"/>
      <c r="O55" s="24"/>
      <c r="P55" s="47"/>
      <c r="R55" s="60"/>
      <c r="S55" s="23"/>
      <c r="T55" s="60"/>
      <c r="U55" s="58"/>
      <c r="V55" s="48"/>
      <c r="W55" s="48"/>
      <c r="X55" s="23"/>
      <c r="Y55" s="23"/>
      <c r="Z55" s="23"/>
      <c r="AA55" s="60"/>
      <c r="AB55" s="55"/>
      <c r="AC55" s="23"/>
      <c r="AJ55" s="48"/>
      <c r="AK55" s="48"/>
      <c r="AL55" s="48"/>
      <c r="AM55" s="60"/>
      <c r="AN55" s="23"/>
      <c r="AO55" s="23"/>
      <c r="AP55" s="23"/>
      <c r="AQ55" s="54"/>
      <c r="AR55" s="23"/>
      <c r="AS55" s="23"/>
      <c r="AT55" s="60"/>
      <c r="AV55" s="23"/>
      <c r="AX55" s="49"/>
      <c r="AY55" s="50"/>
      <c r="AZ55" s="50"/>
      <c r="BA55" s="24"/>
      <c r="BB55" s="24"/>
      <c r="BC55" s="22"/>
      <c r="BD55" s="23"/>
      <c r="BF55" s="48"/>
      <c r="BG55" s="54"/>
      <c r="BL55" s="53"/>
      <c r="BM55" s="53"/>
      <c r="BO55" s="53"/>
      <c r="BP55" s="53"/>
      <c r="BQ55" s="53"/>
      <c r="BR55" s="66"/>
      <c r="BS55" s="66"/>
      <c r="BW55" s="191"/>
      <c r="BX55" s="191"/>
      <c r="BY55" s="53"/>
      <c r="BZ55" s="53"/>
      <c r="CA55" s="53"/>
      <c r="CB55" s="53"/>
      <c r="CC55" s="53"/>
      <c r="CG55" s="53"/>
      <c r="CZ55" s="23"/>
      <c r="DD55" s="361"/>
      <c r="DM55" s="373"/>
    </row>
    <row r="56" spans="8:117" s="3" customFormat="1">
      <c r="H56" s="22"/>
      <c r="I56" s="24"/>
      <c r="J56" s="24"/>
      <c r="K56" s="24"/>
      <c r="L56" s="46"/>
      <c r="M56" s="41"/>
      <c r="N56" s="47"/>
      <c r="O56" s="24"/>
      <c r="P56" s="47"/>
      <c r="R56" s="60"/>
      <c r="S56" s="23"/>
      <c r="T56" s="60"/>
      <c r="U56" s="58"/>
      <c r="V56" s="48"/>
      <c r="W56" s="48"/>
      <c r="X56" s="23"/>
      <c r="Y56" s="23"/>
      <c r="Z56" s="23"/>
      <c r="AA56" s="60"/>
      <c r="AB56" s="55"/>
      <c r="AC56" s="23"/>
      <c r="AJ56" s="48"/>
      <c r="AK56" s="48"/>
      <c r="AL56" s="48"/>
      <c r="AM56" s="60"/>
      <c r="AN56" s="23"/>
      <c r="AO56" s="23"/>
      <c r="AP56" s="23"/>
      <c r="AQ56" s="54"/>
      <c r="AR56" s="23"/>
      <c r="AS56" s="23"/>
      <c r="AT56" s="60"/>
      <c r="AV56" s="23"/>
      <c r="AX56" s="49"/>
      <c r="AY56" s="50"/>
      <c r="AZ56" s="50"/>
      <c r="BA56" s="24"/>
      <c r="BB56" s="24"/>
      <c r="BC56" s="22"/>
      <c r="BD56" s="23"/>
      <c r="BF56" s="48"/>
      <c r="BG56" s="54"/>
      <c r="BL56" s="53"/>
      <c r="BM56" s="53"/>
      <c r="BO56" s="53"/>
      <c r="BP56" s="53"/>
      <c r="BQ56" s="53"/>
      <c r="BR56" s="66"/>
      <c r="BS56" s="66"/>
      <c r="BW56" s="191"/>
      <c r="BX56" s="191"/>
      <c r="BY56" s="53"/>
      <c r="BZ56" s="53"/>
      <c r="CA56" s="53"/>
      <c r="CB56" s="53"/>
      <c r="CC56" s="53"/>
      <c r="CG56" s="53"/>
      <c r="CZ56" s="23"/>
      <c r="DD56" s="361"/>
      <c r="DM56" s="373"/>
    </row>
    <row r="57" spans="8:117" s="3" customFormat="1">
      <c r="H57" s="22"/>
      <c r="I57" s="24"/>
      <c r="J57" s="24"/>
      <c r="K57" s="24"/>
      <c r="L57" s="46"/>
      <c r="M57" s="41"/>
      <c r="N57" s="47"/>
      <c r="O57" s="24"/>
      <c r="P57" s="47"/>
      <c r="R57" s="60"/>
      <c r="S57" s="23"/>
      <c r="T57" s="60"/>
      <c r="U57" s="58"/>
      <c r="V57" s="48"/>
      <c r="W57" s="48"/>
      <c r="X57" s="23"/>
      <c r="Y57" s="23"/>
      <c r="Z57" s="23"/>
      <c r="AA57" s="60"/>
      <c r="AB57" s="55"/>
      <c r="AC57" s="23"/>
      <c r="AJ57" s="48"/>
      <c r="AK57" s="48"/>
      <c r="AL57" s="48"/>
      <c r="AM57" s="60"/>
      <c r="AN57" s="23"/>
      <c r="AO57" s="23"/>
      <c r="AP57" s="23"/>
      <c r="AQ57" s="54"/>
      <c r="AR57" s="23"/>
      <c r="AS57" s="23"/>
      <c r="AT57" s="60"/>
      <c r="AV57" s="23"/>
      <c r="AX57" s="49"/>
      <c r="AY57" s="50"/>
      <c r="AZ57" s="50"/>
      <c r="BA57" s="24"/>
      <c r="BB57" s="24"/>
      <c r="BC57" s="22"/>
      <c r="BD57" s="23"/>
      <c r="BF57" s="48"/>
      <c r="BG57" s="54"/>
      <c r="BL57" s="53"/>
      <c r="BM57" s="53"/>
      <c r="BO57" s="53"/>
      <c r="BP57" s="53"/>
      <c r="BQ57" s="53"/>
      <c r="BR57" s="66"/>
      <c r="BS57" s="66"/>
      <c r="BW57" s="191"/>
      <c r="BX57" s="191"/>
      <c r="BY57" s="53"/>
      <c r="BZ57" s="53"/>
      <c r="CA57" s="53"/>
      <c r="CB57" s="53"/>
      <c r="CC57" s="53"/>
      <c r="CG57" s="53"/>
      <c r="CZ57" s="23"/>
      <c r="DD57" s="361"/>
      <c r="DM57" s="373"/>
    </row>
    <row r="58" spans="8:117" s="3" customFormat="1">
      <c r="H58" s="22"/>
      <c r="I58" s="24"/>
      <c r="J58" s="24"/>
      <c r="K58" s="24"/>
      <c r="L58" s="46"/>
      <c r="M58" s="41"/>
      <c r="N58" s="47"/>
      <c r="O58" s="24"/>
      <c r="P58" s="47"/>
      <c r="R58" s="60"/>
      <c r="S58" s="23"/>
      <c r="T58" s="60"/>
      <c r="U58" s="58"/>
      <c r="V58" s="48"/>
      <c r="W58" s="48"/>
      <c r="X58" s="23"/>
      <c r="Y58" s="23"/>
      <c r="Z58" s="23"/>
      <c r="AA58" s="60"/>
      <c r="AB58" s="55"/>
      <c r="AC58" s="23"/>
      <c r="AJ58" s="48"/>
      <c r="AK58" s="48"/>
      <c r="AL58" s="48"/>
      <c r="AM58" s="60"/>
      <c r="AN58" s="23"/>
      <c r="AO58" s="23"/>
      <c r="AP58" s="23"/>
      <c r="AQ58" s="54"/>
      <c r="AR58" s="23"/>
      <c r="AS58" s="23"/>
      <c r="AT58" s="60"/>
      <c r="AV58" s="23"/>
      <c r="AX58" s="49"/>
      <c r="AY58" s="50"/>
      <c r="AZ58" s="50"/>
      <c r="BA58" s="24"/>
      <c r="BB58" s="24"/>
      <c r="BC58" s="22"/>
      <c r="BD58" s="23"/>
      <c r="BF58" s="48"/>
      <c r="BG58" s="54"/>
      <c r="BL58" s="53"/>
      <c r="BM58" s="53"/>
      <c r="BO58" s="53"/>
      <c r="BP58" s="53"/>
      <c r="BQ58" s="53"/>
      <c r="BR58" s="66"/>
      <c r="BS58" s="66"/>
      <c r="BW58" s="191"/>
      <c r="BX58" s="191"/>
      <c r="BY58" s="53"/>
      <c r="BZ58" s="53"/>
      <c r="CA58" s="53"/>
      <c r="CB58" s="53"/>
      <c r="CC58" s="53"/>
      <c r="CG58" s="53"/>
      <c r="CZ58" s="23"/>
      <c r="DD58" s="361"/>
      <c r="DM58" s="373"/>
    </row>
    <row r="59" spans="8:117" s="3" customFormat="1">
      <c r="H59" s="22"/>
      <c r="I59" s="24"/>
      <c r="J59" s="24"/>
      <c r="K59" s="24"/>
      <c r="L59" s="46"/>
      <c r="M59" s="41"/>
      <c r="N59" s="47"/>
      <c r="O59" s="24"/>
      <c r="P59" s="47"/>
      <c r="R59" s="60"/>
      <c r="S59" s="23"/>
      <c r="T59" s="60"/>
      <c r="U59" s="58"/>
      <c r="V59" s="48"/>
      <c r="W59" s="48"/>
      <c r="X59" s="23"/>
      <c r="Y59" s="23"/>
      <c r="Z59" s="23"/>
      <c r="AA59" s="60"/>
      <c r="AB59" s="55"/>
      <c r="AC59" s="23"/>
      <c r="AJ59" s="48"/>
      <c r="AK59" s="48"/>
      <c r="AL59" s="48"/>
      <c r="AM59" s="60"/>
      <c r="AN59" s="23"/>
      <c r="AO59" s="23"/>
      <c r="AP59" s="23"/>
      <c r="AQ59" s="54"/>
      <c r="AR59" s="23"/>
      <c r="AS59" s="23"/>
      <c r="AT59" s="60"/>
      <c r="AV59" s="23"/>
      <c r="AX59" s="49"/>
      <c r="AY59" s="50"/>
      <c r="AZ59" s="50"/>
      <c r="BA59" s="24"/>
      <c r="BB59" s="24"/>
      <c r="BC59" s="22"/>
      <c r="BD59" s="23"/>
      <c r="BF59" s="48"/>
      <c r="BG59" s="54"/>
      <c r="BL59" s="53"/>
      <c r="BM59" s="53"/>
      <c r="BO59" s="53"/>
      <c r="BP59" s="53"/>
      <c r="BQ59" s="53"/>
      <c r="BR59" s="66"/>
      <c r="BS59" s="66"/>
      <c r="BW59" s="191"/>
      <c r="BX59" s="191"/>
      <c r="BY59" s="53"/>
      <c r="BZ59" s="53"/>
      <c r="CA59" s="53"/>
      <c r="CB59" s="53"/>
      <c r="CC59" s="53"/>
      <c r="CG59" s="53"/>
      <c r="CZ59" s="23"/>
      <c r="DD59" s="361"/>
      <c r="DM59" s="373"/>
    </row>
    <row r="60" spans="8:117" s="3" customFormat="1">
      <c r="H60" s="22"/>
      <c r="I60" s="24"/>
      <c r="J60" s="24"/>
      <c r="K60" s="24"/>
      <c r="L60" s="46"/>
      <c r="M60" s="41"/>
      <c r="N60" s="47"/>
      <c r="O60" s="24"/>
      <c r="P60" s="47"/>
      <c r="R60" s="60"/>
      <c r="S60" s="23"/>
      <c r="T60" s="60"/>
      <c r="U60" s="58"/>
      <c r="V60" s="48"/>
      <c r="W60" s="48"/>
      <c r="X60" s="23"/>
      <c r="Y60" s="23"/>
      <c r="Z60" s="23"/>
      <c r="AA60" s="60"/>
      <c r="AB60" s="55"/>
      <c r="AC60" s="23"/>
      <c r="AJ60" s="48"/>
      <c r="AK60" s="48"/>
      <c r="AL60" s="48"/>
      <c r="AM60" s="60"/>
      <c r="AN60" s="23"/>
      <c r="AO60" s="23"/>
      <c r="AP60" s="23"/>
      <c r="AQ60" s="54"/>
      <c r="AR60" s="23"/>
      <c r="AS60" s="23"/>
      <c r="AT60" s="60"/>
      <c r="AV60" s="23"/>
      <c r="AX60" s="49"/>
      <c r="AY60" s="50"/>
      <c r="AZ60" s="50"/>
      <c r="BA60" s="24"/>
      <c r="BB60" s="24"/>
      <c r="BC60" s="22"/>
      <c r="BD60" s="23"/>
      <c r="BF60" s="48"/>
      <c r="BG60" s="54"/>
      <c r="BL60" s="53"/>
      <c r="BM60" s="53"/>
      <c r="BO60" s="53"/>
      <c r="BP60" s="53"/>
      <c r="BQ60" s="53"/>
      <c r="BR60" s="66"/>
      <c r="BS60" s="66"/>
      <c r="BW60" s="191"/>
      <c r="BX60" s="191"/>
      <c r="BY60" s="53"/>
      <c r="BZ60" s="53"/>
      <c r="CA60" s="53"/>
      <c r="CB60" s="53"/>
      <c r="CC60" s="53"/>
      <c r="CG60" s="53"/>
      <c r="CZ60" s="23"/>
      <c r="DD60" s="361"/>
      <c r="DM60" s="373"/>
    </row>
    <row r="61" spans="8:117" s="3" customFormat="1">
      <c r="H61" s="22"/>
      <c r="I61" s="24"/>
      <c r="J61" s="24"/>
      <c r="K61" s="24"/>
      <c r="L61" s="46"/>
      <c r="M61" s="41"/>
      <c r="N61" s="47"/>
      <c r="O61" s="24"/>
      <c r="P61" s="47"/>
      <c r="R61" s="60"/>
      <c r="S61" s="23"/>
      <c r="T61" s="60"/>
      <c r="U61" s="58"/>
      <c r="V61" s="48"/>
      <c r="W61" s="48"/>
      <c r="X61" s="23"/>
      <c r="Y61" s="23"/>
      <c r="Z61" s="23"/>
      <c r="AA61" s="60"/>
      <c r="AB61" s="55"/>
      <c r="AC61" s="23"/>
      <c r="AJ61" s="48"/>
      <c r="AK61" s="48"/>
      <c r="AL61" s="48"/>
      <c r="AM61" s="60"/>
      <c r="AN61" s="23"/>
      <c r="AO61" s="23"/>
      <c r="AP61" s="23"/>
      <c r="AQ61" s="54"/>
      <c r="AR61" s="23"/>
      <c r="AS61" s="23"/>
      <c r="AT61" s="60"/>
      <c r="AV61" s="23"/>
      <c r="AX61" s="49"/>
      <c r="AY61" s="50"/>
      <c r="AZ61" s="50"/>
      <c r="BA61" s="24"/>
      <c r="BB61" s="24"/>
      <c r="BC61" s="22"/>
      <c r="BD61" s="23"/>
      <c r="BF61" s="48"/>
      <c r="BG61" s="54"/>
      <c r="BL61" s="53"/>
      <c r="BM61" s="53"/>
      <c r="BO61" s="53"/>
      <c r="BP61" s="53"/>
      <c r="BQ61" s="53"/>
      <c r="BR61" s="66"/>
      <c r="BS61" s="66"/>
      <c r="BW61" s="191"/>
      <c r="BX61" s="191"/>
      <c r="BY61" s="53"/>
      <c r="BZ61" s="53"/>
      <c r="CA61" s="53"/>
      <c r="CB61" s="53"/>
      <c r="CC61" s="53"/>
      <c r="CG61" s="53"/>
      <c r="CZ61" s="23"/>
      <c r="DD61" s="361"/>
      <c r="DM61" s="373"/>
    </row>
    <row r="62" spans="8:117" s="3" customFormat="1">
      <c r="H62" s="22"/>
      <c r="I62" s="24"/>
      <c r="J62" s="24"/>
      <c r="K62" s="24"/>
      <c r="L62" s="46"/>
      <c r="M62" s="41"/>
      <c r="N62" s="47"/>
      <c r="O62" s="24"/>
      <c r="P62" s="47"/>
      <c r="R62" s="60"/>
      <c r="S62" s="23"/>
      <c r="T62" s="60"/>
      <c r="U62" s="58"/>
      <c r="V62" s="48"/>
      <c r="W62" s="48"/>
      <c r="X62" s="23"/>
      <c r="Y62" s="23"/>
      <c r="Z62" s="23"/>
      <c r="AA62" s="60"/>
      <c r="AB62" s="55"/>
      <c r="AC62" s="23"/>
      <c r="AJ62" s="48"/>
      <c r="AK62" s="48"/>
      <c r="AL62" s="48"/>
      <c r="AM62" s="60"/>
      <c r="AN62" s="23"/>
      <c r="AO62" s="23"/>
      <c r="AP62" s="23"/>
      <c r="AQ62" s="54"/>
      <c r="AR62" s="23"/>
      <c r="AS62" s="23"/>
      <c r="AT62" s="60"/>
      <c r="AV62" s="23"/>
      <c r="AX62" s="49"/>
      <c r="AY62" s="50"/>
      <c r="AZ62" s="50"/>
      <c r="BA62" s="24"/>
      <c r="BB62" s="24"/>
      <c r="BC62" s="22"/>
      <c r="BD62" s="23"/>
      <c r="BF62" s="48"/>
      <c r="BG62" s="54"/>
      <c r="BL62" s="53"/>
      <c r="BM62" s="53"/>
      <c r="BO62" s="53"/>
      <c r="BP62" s="53"/>
      <c r="BQ62" s="53"/>
      <c r="BR62" s="66"/>
      <c r="BS62" s="66"/>
      <c r="BW62" s="191"/>
      <c r="BX62" s="191"/>
      <c r="BY62" s="53"/>
      <c r="BZ62" s="53"/>
      <c r="CA62" s="53"/>
      <c r="CB62" s="53"/>
      <c r="CC62" s="53"/>
      <c r="CG62" s="53"/>
      <c r="CZ62" s="23"/>
      <c r="DD62" s="361"/>
      <c r="DM62" s="373"/>
    </row>
    <row r="63" spans="8:117" s="3" customFormat="1">
      <c r="H63" s="22"/>
      <c r="I63" s="24"/>
      <c r="J63" s="24"/>
      <c r="K63" s="24"/>
      <c r="L63" s="46"/>
      <c r="M63" s="41"/>
      <c r="N63" s="47"/>
      <c r="O63" s="24"/>
      <c r="P63" s="47"/>
      <c r="R63" s="60"/>
      <c r="S63" s="23"/>
      <c r="T63" s="60"/>
      <c r="U63" s="58"/>
      <c r="V63" s="48"/>
      <c r="W63" s="48"/>
      <c r="X63" s="23"/>
      <c r="Y63" s="23"/>
      <c r="Z63" s="23"/>
      <c r="AA63" s="60"/>
      <c r="AB63" s="55"/>
      <c r="AC63" s="23"/>
      <c r="AJ63" s="48"/>
      <c r="AK63" s="48"/>
      <c r="AL63" s="48"/>
      <c r="AM63" s="60"/>
      <c r="AN63" s="23"/>
      <c r="AO63" s="23"/>
      <c r="AP63" s="23"/>
      <c r="AQ63" s="54"/>
      <c r="AR63" s="23"/>
      <c r="AS63" s="23"/>
      <c r="AT63" s="60"/>
      <c r="AV63" s="23"/>
      <c r="AX63" s="49"/>
      <c r="AY63" s="50"/>
      <c r="AZ63" s="50"/>
      <c r="BA63" s="24"/>
      <c r="BB63" s="24"/>
      <c r="BC63" s="22"/>
      <c r="BD63" s="23"/>
      <c r="BF63" s="48"/>
      <c r="BG63" s="54"/>
      <c r="BL63" s="53"/>
      <c r="BM63" s="53"/>
      <c r="BO63" s="53"/>
      <c r="BP63" s="53"/>
      <c r="BQ63" s="53"/>
      <c r="BR63" s="66"/>
      <c r="BS63" s="66"/>
      <c r="BW63" s="191"/>
      <c r="BX63" s="191"/>
      <c r="BY63" s="53"/>
      <c r="BZ63" s="53"/>
      <c r="CA63" s="53"/>
      <c r="CB63" s="53"/>
      <c r="CC63" s="53"/>
      <c r="CG63" s="53"/>
      <c r="CZ63" s="23"/>
      <c r="DD63" s="361"/>
      <c r="DM63" s="373"/>
    </row>
    <row r="64" spans="8:117" s="3" customFormat="1">
      <c r="H64" s="22"/>
      <c r="I64" s="24"/>
      <c r="J64" s="24"/>
      <c r="K64" s="24"/>
      <c r="L64" s="46"/>
      <c r="M64" s="41"/>
      <c r="N64" s="47"/>
      <c r="O64" s="24"/>
      <c r="P64" s="47"/>
      <c r="R64" s="60"/>
      <c r="S64" s="23"/>
      <c r="T64" s="60"/>
      <c r="U64" s="58"/>
      <c r="V64" s="48"/>
      <c r="W64" s="48"/>
      <c r="X64" s="23"/>
      <c r="Y64" s="23"/>
      <c r="Z64" s="23"/>
      <c r="AA64" s="60"/>
      <c r="AB64" s="55"/>
      <c r="AC64" s="23"/>
      <c r="AJ64" s="48"/>
      <c r="AK64" s="48"/>
      <c r="AL64" s="48"/>
      <c r="AM64" s="60"/>
      <c r="AN64" s="23"/>
      <c r="AO64" s="23"/>
      <c r="AP64" s="23"/>
      <c r="AQ64" s="54"/>
      <c r="AR64" s="23"/>
      <c r="AS64" s="23"/>
      <c r="AT64" s="60"/>
      <c r="AV64" s="23"/>
      <c r="AX64" s="49"/>
      <c r="AY64" s="50"/>
      <c r="AZ64" s="50"/>
      <c r="BA64" s="24"/>
      <c r="BB64" s="24"/>
      <c r="BC64" s="22"/>
      <c r="BD64" s="23"/>
      <c r="BF64" s="48"/>
      <c r="BG64" s="54"/>
      <c r="BL64" s="53"/>
      <c r="BM64" s="53"/>
      <c r="BO64" s="53"/>
      <c r="BP64" s="53"/>
      <c r="BQ64" s="53"/>
      <c r="BR64" s="66"/>
      <c r="BS64" s="66"/>
      <c r="BW64" s="191"/>
      <c r="BX64" s="191"/>
      <c r="BY64" s="53"/>
      <c r="BZ64" s="53"/>
      <c r="CA64" s="53"/>
      <c r="CB64" s="53"/>
      <c r="CC64" s="53"/>
      <c r="CG64" s="53"/>
      <c r="CZ64" s="23"/>
      <c r="DD64" s="361"/>
      <c r="DM64" s="373"/>
    </row>
    <row r="65" spans="8:117" s="3" customFormat="1">
      <c r="H65" s="22"/>
      <c r="I65" s="24"/>
      <c r="J65" s="24"/>
      <c r="K65" s="24"/>
      <c r="L65" s="46"/>
      <c r="M65" s="41"/>
      <c r="N65" s="47"/>
      <c r="O65" s="24"/>
      <c r="P65" s="47"/>
      <c r="R65" s="60"/>
      <c r="S65" s="23"/>
      <c r="T65" s="60"/>
      <c r="U65" s="58"/>
      <c r="V65" s="48"/>
      <c r="W65" s="48"/>
      <c r="X65" s="23"/>
      <c r="Y65" s="23"/>
      <c r="Z65" s="23"/>
      <c r="AA65" s="60"/>
      <c r="AB65" s="55"/>
      <c r="AC65" s="23"/>
      <c r="AJ65" s="48"/>
      <c r="AK65" s="48"/>
      <c r="AL65" s="48"/>
      <c r="AM65" s="60"/>
      <c r="AN65" s="23"/>
      <c r="AO65" s="23"/>
      <c r="AP65" s="23"/>
      <c r="AQ65" s="54"/>
      <c r="AR65" s="23"/>
      <c r="AS65" s="23"/>
      <c r="AT65" s="60"/>
      <c r="AV65" s="23"/>
      <c r="AX65" s="49"/>
      <c r="AY65" s="50"/>
      <c r="AZ65" s="50"/>
      <c r="BA65" s="24"/>
      <c r="BB65" s="24"/>
      <c r="BC65" s="22"/>
      <c r="BD65" s="23"/>
      <c r="BF65" s="48"/>
      <c r="BG65" s="54"/>
      <c r="BL65" s="53"/>
      <c r="BM65" s="53"/>
      <c r="BO65" s="53"/>
      <c r="BP65" s="53"/>
      <c r="BQ65" s="53"/>
      <c r="BR65" s="66"/>
      <c r="BS65" s="66"/>
      <c r="BW65" s="191"/>
      <c r="BX65" s="191"/>
      <c r="BY65" s="53"/>
      <c r="BZ65" s="53"/>
      <c r="CA65" s="53"/>
      <c r="CB65" s="53"/>
      <c r="CC65" s="53"/>
      <c r="CG65" s="53"/>
      <c r="CZ65" s="23"/>
      <c r="DD65" s="361"/>
      <c r="DM65" s="373"/>
    </row>
    <row r="66" spans="8:117" s="3" customFormat="1">
      <c r="H66" s="22"/>
      <c r="I66" s="24"/>
      <c r="J66" s="24"/>
      <c r="K66" s="24"/>
      <c r="L66" s="46"/>
      <c r="M66" s="41"/>
      <c r="N66" s="47"/>
      <c r="O66" s="24"/>
      <c r="P66" s="47"/>
      <c r="R66" s="60"/>
      <c r="S66" s="23"/>
      <c r="T66" s="60"/>
      <c r="U66" s="58"/>
      <c r="V66" s="48"/>
      <c r="W66" s="48"/>
      <c r="X66" s="23"/>
      <c r="Y66" s="23"/>
      <c r="Z66" s="23"/>
      <c r="AA66" s="60"/>
      <c r="AB66" s="55"/>
      <c r="AC66" s="23"/>
      <c r="AJ66" s="48"/>
      <c r="AK66" s="48"/>
      <c r="AL66" s="48"/>
      <c r="AM66" s="60"/>
      <c r="AN66" s="23"/>
      <c r="AO66" s="23"/>
      <c r="AP66" s="23"/>
      <c r="AQ66" s="54"/>
      <c r="AR66" s="23"/>
      <c r="AS66" s="23"/>
      <c r="AT66" s="60"/>
      <c r="AV66" s="23"/>
      <c r="AX66" s="49"/>
      <c r="AY66" s="50"/>
      <c r="AZ66" s="50"/>
      <c r="BA66" s="24"/>
      <c r="BB66" s="24"/>
      <c r="BC66" s="22"/>
      <c r="BD66" s="23"/>
      <c r="BF66" s="48"/>
      <c r="BG66" s="54"/>
      <c r="BL66" s="53"/>
      <c r="BM66" s="53"/>
      <c r="BO66" s="53"/>
      <c r="BP66" s="53"/>
      <c r="BQ66" s="53"/>
      <c r="BR66" s="66"/>
      <c r="BS66" s="66"/>
      <c r="BW66" s="191"/>
      <c r="BX66" s="191"/>
      <c r="BY66" s="53"/>
      <c r="BZ66" s="53"/>
      <c r="CA66" s="53"/>
      <c r="CB66" s="53"/>
      <c r="CC66" s="53"/>
      <c r="CG66" s="53"/>
      <c r="CZ66" s="23"/>
      <c r="DD66" s="361"/>
      <c r="DM66" s="373"/>
    </row>
    <row r="67" spans="8:117" s="3" customFormat="1">
      <c r="H67" s="22"/>
      <c r="I67" s="24"/>
      <c r="J67" s="24"/>
      <c r="K67" s="24"/>
      <c r="L67" s="46"/>
      <c r="M67" s="41"/>
      <c r="N67" s="47"/>
      <c r="O67" s="24"/>
      <c r="P67" s="47"/>
      <c r="R67" s="60"/>
      <c r="S67" s="23"/>
      <c r="T67" s="60"/>
      <c r="U67" s="58"/>
      <c r="V67" s="48"/>
      <c r="W67" s="48"/>
      <c r="X67" s="23"/>
      <c r="Y67" s="23"/>
      <c r="Z67" s="23"/>
      <c r="AA67" s="60"/>
      <c r="AB67" s="55"/>
      <c r="AC67" s="23"/>
      <c r="AJ67" s="48"/>
      <c r="AK67" s="48"/>
      <c r="AL67" s="48"/>
      <c r="AM67" s="60"/>
      <c r="AN67" s="23"/>
      <c r="AO67" s="23"/>
      <c r="AP67" s="23"/>
      <c r="AQ67" s="54"/>
      <c r="AR67" s="23"/>
      <c r="AS67" s="23"/>
      <c r="AT67" s="60"/>
      <c r="AV67" s="23"/>
      <c r="AX67" s="49"/>
      <c r="AY67" s="50"/>
      <c r="AZ67" s="50"/>
      <c r="BA67" s="24"/>
      <c r="BB67" s="24"/>
      <c r="BC67" s="22"/>
      <c r="BD67" s="23"/>
      <c r="BF67" s="48"/>
      <c r="BG67" s="54"/>
      <c r="BL67" s="53"/>
      <c r="BM67" s="53"/>
      <c r="BO67" s="53"/>
      <c r="BP67" s="53"/>
      <c r="BQ67" s="53"/>
      <c r="BR67" s="66"/>
      <c r="BS67" s="66"/>
      <c r="BW67" s="191"/>
      <c r="BX67" s="191"/>
      <c r="BY67" s="53"/>
      <c r="BZ67" s="53"/>
      <c r="CA67" s="53"/>
      <c r="CB67" s="53"/>
      <c r="CC67" s="53"/>
      <c r="CG67" s="53"/>
      <c r="CZ67" s="23"/>
      <c r="DD67" s="361"/>
      <c r="DM67" s="373"/>
    </row>
    <row r="68" spans="8:117" s="3" customFormat="1">
      <c r="H68" s="22"/>
      <c r="I68" s="24"/>
      <c r="J68" s="24"/>
      <c r="K68" s="24"/>
      <c r="L68" s="46"/>
      <c r="M68" s="41"/>
      <c r="N68" s="47"/>
      <c r="O68" s="24"/>
      <c r="P68" s="47"/>
      <c r="R68" s="60"/>
      <c r="S68" s="23"/>
      <c r="T68" s="60"/>
      <c r="U68" s="58"/>
      <c r="V68" s="48"/>
      <c r="W68" s="48"/>
      <c r="X68" s="23"/>
      <c r="Y68" s="23"/>
      <c r="Z68" s="23"/>
      <c r="AA68" s="60"/>
      <c r="AB68" s="55"/>
      <c r="AC68" s="23"/>
      <c r="AJ68" s="48"/>
      <c r="AK68" s="48"/>
      <c r="AL68" s="48"/>
      <c r="AM68" s="60"/>
      <c r="AN68" s="23"/>
      <c r="AO68" s="23"/>
      <c r="AP68" s="23"/>
      <c r="AQ68" s="54"/>
      <c r="AR68" s="23"/>
      <c r="AS68" s="23"/>
      <c r="AT68" s="60"/>
      <c r="AV68" s="23"/>
      <c r="AX68" s="49"/>
      <c r="AY68" s="50"/>
      <c r="AZ68" s="50"/>
      <c r="BA68" s="24"/>
      <c r="BB68" s="24"/>
      <c r="BC68" s="22"/>
      <c r="BD68" s="23"/>
      <c r="BF68" s="48"/>
      <c r="BG68" s="54"/>
      <c r="BL68" s="53"/>
      <c r="BM68" s="53"/>
      <c r="BO68" s="53"/>
      <c r="BP68" s="53"/>
      <c r="BQ68" s="53"/>
      <c r="BR68" s="66"/>
      <c r="BS68" s="66"/>
      <c r="BW68" s="191"/>
      <c r="BX68" s="191"/>
      <c r="BY68" s="53"/>
      <c r="BZ68" s="53"/>
      <c r="CA68" s="53"/>
      <c r="CB68" s="53"/>
      <c r="CC68" s="53"/>
      <c r="CG68" s="53"/>
      <c r="CZ68" s="23"/>
      <c r="DD68" s="361"/>
      <c r="DM68" s="373"/>
    </row>
    <row r="69" spans="8:117" s="3" customFormat="1">
      <c r="H69" s="22"/>
      <c r="I69" s="24"/>
      <c r="J69" s="24"/>
      <c r="K69" s="24"/>
      <c r="L69" s="46"/>
      <c r="M69" s="41"/>
      <c r="N69" s="47"/>
      <c r="O69" s="24"/>
      <c r="P69" s="47"/>
      <c r="R69" s="60"/>
      <c r="S69" s="23"/>
      <c r="T69" s="60"/>
      <c r="U69" s="58"/>
      <c r="V69" s="48"/>
      <c r="W69" s="48"/>
      <c r="X69" s="23"/>
      <c r="Y69" s="23"/>
      <c r="Z69" s="23"/>
      <c r="AA69" s="60"/>
      <c r="AB69" s="55"/>
      <c r="AC69" s="23"/>
      <c r="AJ69" s="48"/>
      <c r="AK69" s="48"/>
      <c r="AL69" s="48"/>
      <c r="AM69" s="60"/>
      <c r="AN69" s="23"/>
      <c r="AO69" s="23"/>
      <c r="AP69" s="23"/>
      <c r="AQ69" s="54"/>
      <c r="AR69" s="23"/>
      <c r="AS69" s="23"/>
      <c r="AT69" s="60"/>
      <c r="AV69" s="23"/>
      <c r="AX69" s="49"/>
      <c r="AY69" s="50"/>
      <c r="AZ69" s="50"/>
      <c r="BA69" s="24"/>
      <c r="BB69" s="24"/>
      <c r="BC69" s="22"/>
      <c r="BD69" s="23"/>
      <c r="BF69" s="48"/>
      <c r="BG69" s="54"/>
      <c r="BL69" s="53"/>
      <c r="BM69" s="53"/>
      <c r="BO69" s="53"/>
      <c r="BP69" s="53"/>
      <c r="BQ69" s="53"/>
      <c r="BR69" s="66"/>
      <c r="BS69" s="66"/>
      <c r="BW69" s="191"/>
      <c r="BX69" s="191"/>
      <c r="BY69" s="53"/>
      <c r="BZ69" s="53"/>
      <c r="CA69" s="53"/>
      <c r="CB69" s="53"/>
      <c r="CC69" s="53"/>
      <c r="CG69" s="53"/>
      <c r="CZ69" s="23"/>
      <c r="DD69" s="361"/>
      <c r="DM69" s="373"/>
    </row>
    <row r="70" spans="8:117" s="3" customFormat="1">
      <c r="H70" s="22"/>
      <c r="I70" s="24"/>
      <c r="J70" s="24"/>
      <c r="K70" s="24"/>
      <c r="L70" s="46"/>
      <c r="M70" s="41"/>
      <c r="N70" s="47"/>
      <c r="O70" s="24"/>
      <c r="P70" s="47"/>
      <c r="R70" s="60"/>
      <c r="S70" s="23"/>
      <c r="T70" s="60"/>
      <c r="U70" s="58"/>
      <c r="V70" s="48"/>
      <c r="W70" s="48"/>
      <c r="X70" s="23"/>
      <c r="Y70" s="23"/>
      <c r="Z70" s="23"/>
      <c r="AA70" s="60"/>
      <c r="AB70" s="55"/>
      <c r="AC70" s="23"/>
      <c r="AJ70" s="48"/>
      <c r="AK70" s="48"/>
      <c r="AL70" s="48"/>
      <c r="AM70" s="60"/>
      <c r="AN70" s="23"/>
      <c r="AO70" s="23"/>
      <c r="AP70" s="23"/>
      <c r="AQ70" s="54"/>
      <c r="AR70" s="23"/>
      <c r="AS70" s="23"/>
      <c r="AT70" s="60"/>
      <c r="AV70" s="23"/>
      <c r="AX70" s="49"/>
      <c r="AY70" s="50"/>
      <c r="AZ70" s="50"/>
      <c r="BA70" s="24"/>
      <c r="BB70" s="24"/>
      <c r="BC70" s="22"/>
      <c r="BD70" s="23"/>
      <c r="BF70" s="48"/>
      <c r="BG70" s="54"/>
      <c r="BL70" s="53"/>
      <c r="BM70" s="53"/>
      <c r="BO70" s="53"/>
      <c r="BP70" s="53"/>
      <c r="BQ70" s="53"/>
      <c r="BR70" s="66"/>
      <c r="BS70" s="66"/>
      <c r="BW70" s="191"/>
      <c r="BX70" s="191"/>
      <c r="BY70" s="53"/>
      <c r="BZ70" s="53"/>
      <c r="CA70" s="53"/>
      <c r="CB70" s="53"/>
      <c r="CC70" s="53"/>
      <c r="CG70" s="53"/>
      <c r="CZ70" s="23"/>
      <c r="DD70" s="361"/>
      <c r="DM70" s="373"/>
    </row>
    <row r="71" spans="8:117" s="3" customFormat="1">
      <c r="H71" s="22"/>
      <c r="I71" s="24"/>
      <c r="J71" s="24"/>
      <c r="K71" s="24"/>
      <c r="L71" s="46"/>
      <c r="M71" s="41"/>
      <c r="N71" s="47"/>
      <c r="O71" s="24"/>
      <c r="P71" s="47"/>
      <c r="R71" s="60"/>
      <c r="S71" s="23"/>
      <c r="T71" s="60"/>
      <c r="U71" s="58"/>
      <c r="V71" s="48"/>
      <c r="W71" s="48"/>
      <c r="X71" s="23"/>
      <c r="Y71" s="23"/>
      <c r="Z71" s="23"/>
      <c r="AA71" s="60"/>
      <c r="AB71" s="55"/>
      <c r="AC71" s="23"/>
      <c r="AJ71" s="48"/>
      <c r="AK71" s="48"/>
      <c r="AL71" s="48"/>
      <c r="AM71" s="60"/>
      <c r="AN71" s="23"/>
      <c r="AO71" s="23"/>
      <c r="AP71" s="23"/>
      <c r="AQ71" s="54"/>
      <c r="AR71" s="23"/>
      <c r="AS71" s="23"/>
      <c r="AT71" s="60"/>
      <c r="AV71" s="23"/>
      <c r="AX71" s="49"/>
      <c r="AY71" s="50"/>
      <c r="AZ71" s="50"/>
      <c r="BA71" s="24"/>
      <c r="BB71" s="24"/>
      <c r="BC71" s="22"/>
      <c r="BD71" s="23"/>
      <c r="BF71" s="48"/>
      <c r="BG71" s="54"/>
      <c r="BL71" s="53"/>
      <c r="BM71" s="53"/>
      <c r="BO71" s="53"/>
      <c r="BP71" s="53"/>
      <c r="BQ71" s="53"/>
      <c r="BR71" s="66"/>
      <c r="BS71" s="66"/>
      <c r="BW71" s="191"/>
      <c r="BX71" s="191"/>
      <c r="BY71" s="53"/>
      <c r="BZ71" s="53"/>
      <c r="CA71" s="53"/>
      <c r="CB71" s="53"/>
      <c r="CC71" s="53"/>
      <c r="CG71" s="53"/>
      <c r="CZ71" s="23"/>
      <c r="DD71" s="361"/>
      <c r="DM71" s="373"/>
    </row>
    <row r="72" spans="8:117" s="3" customFormat="1">
      <c r="H72" s="22"/>
      <c r="I72" s="24"/>
      <c r="J72" s="24"/>
      <c r="K72" s="24"/>
      <c r="L72" s="46"/>
      <c r="M72" s="41"/>
      <c r="N72" s="47"/>
      <c r="O72" s="24"/>
      <c r="P72" s="47"/>
      <c r="R72" s="60"/>
      <c r="S72" s="23"/>
      <c r="T72" s="60"/>
      <c r="U72" s="58"/>
      <c r="V72" s="48"/>
      <c r="W72" s="48"/>
      <c r="X72" s="23"/>
      <c r="Y72" s="23"/>
      <c r="Z72" s="23"/>
      <c r="AA72" s="60"/>
      <c r="AB72" s="55"/>
      <c r="AC72" s="23"/>
      <c r="AJ72" s="48"/>
      <c r="AK72" s="48"/>
      <c r="AL72" s="48"/>
      <c r="AM72" s="60"/>
      <c r="AN72" s="23"/>
      <c r="AO72" s="23"/>
      <c r="AP72" s="23"/>
      <c r="AQ72" s="54"/>
      <c r="AR72" s="23"/>
      <c r="AS72" s="23"/>
      <c r="AT72" s="60"/>
      <c r="AV72" s="23"/>
      <c r="AX72" s="49"/>
      <c r="AY72" s="50"/>
      <c r="AZ72" s="50"/>
      <c r="BA72" s="24"/>
      <c r="BB72" s="24"/>
      <c r="BC72" s="22"/>
      <c r="BD72" s="23"/>
      <c r="BF72" s="48"/>
      <c r="BG72" s="54"/>
      <c r="BL72" s="53"/>
      <c r="BM72" s="53"/>
      <c r="BO72" s="53"/>
      <c r="BP72" s="53"/>
      <c r="BQ72" s="53"/>
      <c r="BR72" s="66"/>
      <c r="BS72" s="66"/>
      <c r="BW72" s="191"/>
      <c r="BX72" s="191"/>
      <c r="BY72" s="53"/>
      <c r="BZ72" s="53"/>
      <c r="CA72" s="53"/>
      <c r="CB72" s="53"/>
      <c r="CC72" s="53"/>
      <c r="CG72" s="53"/>
      <c r="CZ72" s="23"/>
      <c r="DD72" s="361"/>
      <c r="DM72" s="373"/>
    </row>
    <row r="73" spans="8:117" s="3" customFormat="1">
      <c r="H73" s="22"/>
      <c r="I73" s="24"/>
      <c r="J73" s="24"/>
      <c r="K73" s="24"/>
      <c r="L73" s="46"/>
      <c r="M73" s="41"/>
      <c r="N73" s="47"/>
      <c r="O73" s="24"/>
      <c r="P73" s="47"/>
      <c r="R73" s="60"/>
      <c r="S73" s="23"/>
      <c r="T73" s="60"/>
      <c r="U73" s="58"/>
      <c r="V73" s="48"/>
      <c r="W73" s="48"/>
      <c r="X73" s="23"/>
      <c r="Y73" s="23"/>
      <c r="Z73" s="23"/>
      <c r="AA73" s="60"/>
      <c r="AB73" s="55"/>
      <c r="AC73" s="23"/>
      <c r="AJ73" s="48"/>
      <c r="AK73" s="48"/>
      <c r="AL73" s="48"/>
      <c r="AM73" s="60"/>
      <c r="AN73" s="23"/>
      <c r="AO73" s="23"/>
      <c r="AP73" s="23"/>
      <c r="AQ73" s="54"/>
      <c r="AR73" s="23"/>
      <c r="AS73" s="23"/>
      <c r="AT73" s="60"/>
      <c r="AV73" s="23"/>
      <c r="AX73" s="49"/>
      <c r="AY73" s="50"/>
      <c r="AZ73" s="50"/>
      <c r="BA73" s="24"/>
      <c r="BB73" s="24"/>
      <c r="BC73" s="22"/>
      <c r="BD73" s="23"/>
      <c r="BF73" s="48"/>
      <c r="BG73" s="54"/>
      <c r="BL73" s="53"/>
      <c r="BM73" s="53"/>
      <c r="BO73" s="53"/>
      <c r="BP73" s="53"/>
      <c r="BQ73" s="53"/>
      <c r="BR73" s="66"/>
      <c r="BS73" s="66"/>
      <c r="BW73" s="191"/>
      <c r="BX73" s="191"/>
      <c r="BY73" s="53"/>
      <c r="BZ73" s="53"/>
      <c r="CA73" s="53"/>
      <c r="CB73" s="53"/>
      <c r="CC73" s="53"/>
      <c r="CG73" s="53"/>
      <c r="CZ73" s="23"/>
      <c r="DD73" s="361"/>
      <c r="DM73" s="373"/>
    </row>
    <row r="74" spans="8:117" s="3" customFormat="1">
      <c r="H74" s="22"/>
      <c r="I74" s="24"/>
      <c r="J74" s="24"/>
      <c r="K74" s="24"/>
      <c r="L74" s="46"/>
      <c r="M74" s="41"/>
      <c r="N74" s="47"/>
      <c r="O74" s="24"/>
      <c r="P74" s="47"/>
      <c r="R74" s="60"/>
      <c r="S74" s="23"/>
      <c r="T74" s="60"/>
      <c r="U74" s="58"/>
      <c r="V74" s="48"/>
      <c r="W74" s="48"/>
      <c r="X74" s="23"/>
      <c r="Y74" s="23"/>
      <c r="Z74" s="23"/>
      <c r="AA74" s="60"/>
      <c r="AB74" s="55"/>
      <c r="AC74" s="23"/>
      <c r="AJ74" s="48"/>
      <c r="AK74" s="48"/>
      <c r="AL74" s="48"/>
      <c r="AM74" s="60"/>
      <c r="AN74" s="23"/>
      <c r="AO74" s="23"/>
      <c r="AP74" s="23"/>
      <c r="AQ74" s="54"/>
      <c r="AR74" s="23"/>
      <c r="AS74" s="23"/>
      <c r="AT74" s="60"/>
      <c r="AV74" s="23"/>
      <c r="AX74" s="49"/>
      <c r="AY74" s="50"/>
      <c r="AZ74" s="50"/>
      <c r="BA74" s="24"/>
      <c r="BB74" s="24"/>
      <c r="BC74" s="22"/>
      <c r="BD74" s="23"/>
      <c r="BF74" s="48"/>
      <c r="BG74" s="54"/>
      <c r="BL74" s="53"/>
      <c r="BM74" s="53"/>
      <c r="BO74" s="53"/>
      <c r="BP74" s="53"/>
      <c r="BQ74" s="53"/>
      <c r="BR74" s="66"/>
      <c r="BS74" s="66"/>
      <c r="BW74" s="191"/>
      <c r="BX74" s="191"/>
      <c r="BY74" s="53"/>
      <c r="BZ74" s="53"/>
      <c r="CA74" s="53"/>
      <c r="CB74" s="53"/>
      <c r="CC74" s="53"/>
      <c r="CG74" s="53"/>
      <c r="CZ74" s="23"/>
      <c r="DD74" s="361"/>
      <c r="DM74" s="373"/>
    </row>
    <row r="75" spans="8:117" s="3" customFormat="1">
      <c r="H75" s="22"/>
      <c r="I75" s="24"/>
      <c r="J75" s="24"/>
      <c r="K75" s="24"/>
      <c r="L75" s="46"/>
      <c r="M75" s="41"/>
      <c r="N75" s="47"/>
      <c r="O75" s="24"/>
      <c r="P75" s="47"/>
      <c r="R75" s="60"/>
      <c r="S75" s="23"/>
      <c r="T75" s="60"/>
      <c r="U75" s="58"/>
      <c r="V75" s="48"/>
      <c r="W75" s="48"/>
      <c r="X75" s="23"/>
      <c r="Y75" s="23"/>
      <c r="Z75" s="23"/>
      <c r="AA75" s="60"/>
      <c r="AB75" s="55"/>
      <c r="AC75" s="23"/>
      <c r="AJ75" s="48"/>
      <c r="AK75" s="48"/>
      <c r="AL75" s="48"/>
      <c r="AM75" s="60"/>
      <c r="AN75" s="23"/>
      <c r="AO75" s="23"/>
      <c r="AP75" s="23"/>
      <c r="AQ75" s="54"/>
      <c r="AR75" s="23"/>
      <c r="AS75" s="23"/>
      <c r="AT75" s="60"/>
      <c r="AV75" s="23"/>
      <c r="AX75" s="49"/>
      <c r="AY75" s="50"/>
      <c r="AZ75" s="50"/>
      <c r="BA75" s="24"/>
      <c r="BB75" s="24"/>
      <c r="BC75" s="22"/>
      <c r="BD75" s="23"/>
      <c r="BF75" s="48"/>
      <c r="BG75" s="54"/>
      <c r="BL75" s="53"/>
      <c r="BM75" s="53"/>
      <c r="BO75" s="53"/>
      <c r="BP75" s="53"/>
      <c r="BQ75" s="53"/>
      <c r="BR75" s="66"/>
      <c r="BS75" s="66"/>
      <c r="BW75" s="191"/>
      <c r="BX75" s="191"/>
      <c r="BY75" s="53"/>
      <c r="BZ75" s="53"/>
      <c r="CA75" s="53"/>
      <c r="CB75" s="53"/>
      <c r="CC75" s="53"/>
      <c r="CG75" s="53"/>
      <c r="CZ75" s="23"/>
      <c r="DD75" s="361"/>
      <c r="DM75" s="373"/>
    </row>
    <row r="76" spans="8:117" s="3" customFormat="1">
      <c r="H76" s="22"/>
      <c r="I76" s="24"/>
      <c r="J76" s="24"/>
      <c r="K76" s="24"/>
      <c r="L76" s="46"/>
      <c r="M76" s="41"/>
      <c r="N76" s="47"/>
      <c r="O76" s="24"/>
      <c r="P76" s="47"/>
      <c r="R76" s="60"/>
      <c r="S76" s="23"/>
      <c r="T76" s="60"/>
      <c r="U76" s="58"/>
      <c r="V76" s="48"/>
      <c r="W76" s="48"/>
      <c r="X76" s="23"/>
      <c r="Y76" s="23"/>
      <c r="Z76" s="23"/>
      <c r="AA76" s="60"/>
      <c r="AB76" s="55"/>
      <c r="AC76" s="23"/>
      <c r="AJ76" s="48"/>
      <c r="AK76" s="48"/>
      <c r="AL76" s="48"/>
      <c r="AM76" s="60"/>
      <c r="AN76" s="23"/>
      <c r="AO76" s="23"/>
      <c r="AP76" s="23"/>
      <c r="AQ76" s="54"/>
      <c r="AR76" s="23"/>
      <c r="AS76" s="23"/>
      <c r="AT76" s="60"/>
      <c r="AV76" s="23"/>
      <c r="AX76" s="49"/>
      <c r="AY76" s="50"/>
      <c r="AZ76" s="50"/>
      <c r="BA76" s="24"/>
      <c r="BB76" s="24"/>
      <c r="BC76" s="22"/>
      <c r="BD76" s="23"/>
      <c r="BF76" s="48"/>
      <c r="BG76" s="54"/>
      <c r="BL76" s="53"/>
      <c r="BM76" s="53"/>
      <c r="BO76" s="53"/>
      <c r="BP76" s="53"/>
      <c r="BQ76" s="53"/>
      <c r="BR76" s="66"/>
      <c r="BS76" s="66"/>
      <c r="BW76" s="191"/>
      <c r="BX76" s="191"/>
      <c r="BY76" s="53"/>
      <c r="BZ76" s="53"/>
      <c r="CA76" s="53"/>
      <c r="CB76" s="53"/>
      <c r="CC76" s="53"/>
      <c r="CG76" s="53"/>
      <c r="CZ76" s="23"/>
      <c r="DD76" s="361"/>
      <c r="DM76" s="373"/>
    </row>
    <row r="77" spans="8:117" s="3" customFormat="1">
      <c r="H77" s="22"/>
      <c r="I77" s="24"/>
      <c r="J77" s="24"/>
      <c r="K77" s="24"/>
      <c r="L77" s="46"/>
      <c r="M77" s="41"/>
      <c r="N77" s="47"/>
      <c r="O77" s="24"/>
      <c r="P77" s="47"/>
      <c r="R77" s="60"/>
      <c r="S77" s="23"/>
      <c r="T77" s="60"/>
      <c r="U77" s="58"/>
      <c r="V77" s="48"/>
      <c r="W77" s="48"/>
      <c r="X77" s="23"/>
      <c r="Y77" s="23"/>
      <c r="Z77" s="23"/>
      <c r="AA77" s="60"/>
      <c r="AB77" s="55"/>
      <c r="AC77" s="23"/>
      <c r="AJ77" s="48"/>
      <c r="AK77" s="48"/>
      <c r="AL77" s="48"/>
      <c r="AM77" s="60"/>
      <c r="AN77" s="23"/>
      <c r="AO77" s="23"/>
      <c r="AP77" s="23"/>
      <c r="AQ77" s="54"/>
      <c r="AR77" s="23"/>
      <c r="AS77" s="23"/>
      <c r="AT77" s="60"/>
      <c r="AV77" s="23"/>
      <c r="AX77" s="49"/>
      <c r="AY77" s="50"/>
      <c r="AZ77" s="50"/>
      <c r="BA77" s="24"/>
      <c r="BB77" s="24"/>
      <c r="BC77" s="22"/>
      <c r="BD77" s="23"/>
      <c r="BF77" s="48"/>
      <c r="BG77" s="54"/>
      <c r="BL77" s="53"/>
      <c r="BM77" s="53"/>
      <c r="BO77" s="53"/>
      <c r="BP77" s="53"/>
      <c r="BQ77" s="53"/>
      <c r="BR77" s="66"/>
      <c r="BS77" s="66"/>
      <c r="BW77" s="191"/>
      <c r="BX77" s="191"/>
      <c r="BY77" s="53"/>
      <c r="BZ77" s="53"/>
      <c r="CA77" s="53"/>
      <c r="CB77" s="53"/>
      <c r="CC77" s="53"/>
      <c r="CG77" s="53"/>
      <c r="CZ77" s="23"/>
      <c r="DD77" s="361"/>
      <c r="DM77" s="373"/>
    </row>
    <row r="78" spans="8:117" s="3" customFormat="1">
      <c r="H78" s="22"/>
      <c r="I78" s="24"/>
      <c r="J78" s="24"/>
      <c r="K78" s="24"/>
      <c r="L78" s="46"/>
      <c r="M78" s="41"/>
      <c r="N78" s="47"/>
      <c r="O78" s="24"/>
      <c r="P78" s="47"/>
      <c r="R78" s="60"/>
      <c r="S78" s="23"/>
      <c r="T78" s="60"/>
      <c r="U78" s="58"/>
      <c r="V78" s="48"/>
      <c r="W78" s="48"/>
      <c r="X78" s="23"/>
      <c r="Y78" s="23"/>
      <c r="Z78" s="23"/>
      <c r="AA78" s="60"/>
      <c r="AB78" s="55"/>
      <c r="AC78" s="23"/>
      <c r="AJ78" s="48"/>
      <c r="AK78" s="48"/>
      <c r="AL78" s="48"/>
      <c r="AM78" s="60"/>
      <c r="AN78" s="23"/>
      <c r="AO78" s="23"/>
      <c r="AP78" s="23"/>
      <c r="AQ78" s="54"/>
      <c r="AR78" s="23"/>
      <c r="AS78" s="23"/>
      <c r="AT78" s="60"/>
      <c r="AV78" s="23"/>
      <c r="AX78" s="49"/>
      <c r="AY78" s="50"/>
      <c r="AZ78" s="50"/>
      <c r="BA78" s="24"/>
      <c r="BB78" s="24"/>
      <c r="BC78" s="22"/>
      <c r="BD78" s="23"/>
      <c r="BF78" s="48"/>
      <c r="BG78" s="54"/>
      <c r="BL78" s="53"/>
      <c r="BM78" s="53"/>
      <c r="BO78" s="53"/>
      <c r="BP78" s="53"/>
      <c r="BQ78" s="53"/>
      <c r="BR78" s="66"/>
      <c r="BS78" s="66"/>
      <c r="BW78" s="191"/>
      <c r="BX78" s="191"/>
      <c r="BY78" s="53"/>
      <c r="BZ78" s="53"/>
      <c r="CA78" s="53"/>
      <c r="CB78" s="53"/>
      <c r="CC78" s="53"/>
      <c r="CG78" s="53"/>
      <c r="CZ78" s="23"/>
      <c r="DD78" s="361"/>
      <c r="DM78" s="373"/>
    </row>
    <row r="79" spans="8:117" s="3" customFormat="1">
      <c r="H79" s="22"/>
      <c r="I79" s="24"/>
      <c r="J79" s="24"/>
      <c r="K79" s="24"/>
      <c r="L79" s="46"/>
      <c r="M79" s="41"/>
      <c r="N79" s="47"/>
      <c r="O79" s="24"/>
      <c r="P79" s="47"/>
      <c r="R79" s="60"/>
      <c r="S79" s="23"/>
      <c r="T79" s="60"/>
      <c r="U79" s="58"/>
      <c r="V79" s="48"/>
      <c r="W79" s="48"/>
      <c r="X79" s="23"/>
      <c r="Y79" s="23"/>
      <c r="Z79" s="23"/>
      <c r="AA79" s="60"/>
      <c r="AB79" s="55"/>
      <c r="AC79" s="23"/>
      <c r="AJ79" s="48"/>
      <c r="AK79" s="48"/>
      <c r="AL79" s="48"/>
      <c r="AM79" s="60"/>
      <c r="AN79" s="23"/>
      <c r="AO79" s="23"/>
      <c r="AP79" s="23"/>
      <c r="AQ79" s="54"/>
      <c r="AR79" s="23"/>
      <c r="AS79" s="23"/>
      <c r="AT79" s="60"/>
      <c r="AV79" s="23"/>
      <c r="AX79" s="49"/>
      <c r="AY79" s="50"/>
      <c r="AZ79" s="50"/>
      <c r="BA79" s="24"/>
      <c r="BB79" s="24"/>
      <c r="BC79" s="22"/>
      <c r="BD79" s="23"/>
      <c r="BF79" s="48"/>
      <c r="BG79" s="54"/>
      <c r="BL79" s="53"/>
      <c r="BM79" s="53"/>
      <c r="BO79" s="53"/>
      <c r="BP79" s="53"/>
      <c r="BQ79" s="53"/>
      <c r="BR79" s="66"/>
      <c r="BS79" s="66"/>
      <c r="BW79" s="191"/>
      <c r="BX79" s="191"/>
      <c r="BY79" s="53"/>
      <c r="BZ79" s="53"/>
      <c r="CA79" s="53"/>
      <c r="CB79" s="53"/>
      <c r="CC79" s="53"/>
      <c r="CG79" s="53"/>
      <c r="CZ79" s="23"/>
      <c r="DD79" s="361"/>
      <c r="DM79" s="373"/>
    </row>
    <row r="80" spans="8:117" s="3" customFormat="1">
      <c r="H80" s="22"/>
      <c r="I80" s="24"/>
      <c r="J80" s="24"/>
      <c r="K80" s="24"/>
      <c r="L80" s="46"/>
      <c r="M80" s="41"/>
      <c r="N80" s="47"/>
      <c r="O80" s="24"/>
      <c r="P80" s="47"/>
      <c r="R80" s="60"/>
      <c r="S80" s="23"/>
      <c r="T80" s="60"/>
      <c r="U80" s="58"/>
      <c r="V80" s="48"/>
      <c r="W80" s="48"/>
      <c r="X80" s="23"/>
      <c r="Y80" s="23"/>
      <c r="Z80" s="23"/>
      <c r="AA80" s="60"/>
      <c r="AB80" s="55"/>
      <c r="AC80" s="23"/>
      <c r="AJ80" s="48"/>
      <c r="AK80" s="48"/>
      <c r="AL80" s="48"/>
      <c r="AM80" s="60"/>
      <c r="AN80" s="23"/>
      <c r="AO80" s="23"/>
      <c r="AP80" s="23"/>
      <c r="AQ80" s="54"/>
      <c r="AR80" s="23"/>
      <c r="AS80" s="23"/>
      <c r="AT80" s="60"/>
      <c r="AV80" s="23"/>
      <c r="AX80" s="49"/>
      <c r="AY80" s="50"/>
      <c r="AZ80" s="50"/>
      <c r="BA80" s="24"/>
      <c r="BB80" s="24"/>
      <c r="BC80" s="22"/>
      <c r="BD80" s="23"/>
      <c r="BF80" s="48"/>
      <c r="BG80" s="54"/>
      <c r="BL80" s="53"/>
      <c r="BM80" s="53"/>
      <c r="BO80" s="53"/>
      <c r="BP80" s="53"/>
      <c r="BQ80" s="53"/>
      <c r="BR80" s="66"/>
      <c r="BS80" s="66"/>
      <c r="BW80" s="191"/>
      <c r="BX80" s="191"/>
      <c r="BY80" s="53"/>
      <c r="BZ80" s="53"/>
      <c r="CA80" s="53"/>
      <c r="CB80" s="53"/>
      <c r="CC80" s="53"/>
      <c r="CG80" s="53"/>
      <c r="CZ80" s="23"/>
      <c r="DD80" s="361"/>
      <c r="DM80" s="373"/>
    </row>
    <row r="81" spans="8:117" s="3" customFormat="1">
      <c r="H81" s="22"/>
      <c r="I81" s="24"/>
      <c r="J81" s="24"/>
      <c r="K81" s="24"/>
      <c r="L81" s="46"/>
      <c r="M81" s="41"/>
      <c r="N81" s="47"/>
      <c r="O81" s="24"/>
      <c r="P81" s="47"/>
      <c r="R81" s="60"/>
      <c r="S81" s="23"/>
      <c r="T81" s="60"/>
      <c r="U81" s="58"/>
      <c r="V81" s="48"/>
      <c r="W81" s="48"/>
      <c r="X81" s="23"/>
      <c r="Y81" s="23"/>
      <c r="Z81" s="23"/>
      <c r="AA81" s="60"/>
      <c r="AB81" s="55"/>
      <c r="AC81" s="23"/>
      <c r="AJ81" s="48"/>
      <c r="AK81" s="48"/>
      <c r="AL81" s="48"/>
      <c r="AM81" s="60"/>
      <c r="AN81" s="23"/>
      <c r="AO81" s="23"/>
      <c r="AP81" s="23"/>
      <c r="AQ81" s="54"/>
      <c r="AR81" s="23"/>
      <c r="AS81" s="23"/>
      <c r="AT81" s="60"/>
      <c r="AV81" s="23"/>
      <c r="AX81" s="49"/>
      <c r="AY81" s="50"/>
      <c r="AZ81" s="50"/>
      <c r="BA81" s="24"/>
      <c r="BB81" s="24"/>
      <c r="BC81" s="22"/>
      <c r="BD81" s="23"/>
      <c r="BF81" s="48"/>
      <c r="BG81" s="54"/>
      <c r="BL81" s="53"/>
      <c r="BM81" s="53"/>
      <c r="BO81" s="53"/>
      <c r="BP81" s="53"/>
      <c r="BQ81" s="53"/>
      <c r="BR81" s="66"/>
      <c r="BS81" s="66"/>
      <c r="BW81" s="191"/>
      <c r="BX81" s="191"/>
      <c r="BY81" s="53"/>
      <c r="BZ81" s="53"/>
      <c r="CA81" s="53"/>
      <c r="CB81" s="53"/>
      <c r="CC81" s="53"/>
      <c r="CG81" s="53"/>
      <c r="CZ81" s="23"/>
      <c r="DD81" s="361"/>
      <c r="DM81" s="373"/>
    </row>
    <row r="82" spans="8:117" s="3" customFormat="1">
      <c r="H82" s="22"/>
      <c r="I82" s="24"/>
      <c r="J82" s="24"/>
      <c r="K82" s="24"/>
      <c r="L82" s="46"/>
      <c r="M82" s="41"/>
      <c r="N82" s="47"/>
      <c r="O82" s="24"/>
      <c r="P82" s="47"/>
      <c r="R82" s="60"/>
      <c r="S82" s="23"/>
      <c r="T82" s="60"/>
      <c r="U82" s="58"/>
      <c r="V82" s="48"/>
      <c r="W82" s="48"/>
      <c r="X82" s="23"/>
      <c r="Y82" s="23"/>
      <c r="Z82" s="23"/>
      <c r="AA82" s="60"/>
      <c r="AB82" s="55"/>
      <c r="AC82" s="23"/>
      <c r="AJ82" s="48"/>
      <c r="AK82" s="48"/>
      <c r="AL82" s="48"/>
      <c r="AM82" s="60"/>
      <c r="AN82" s="23"/>
      <c r="AO82" s="23"/>
      <c r="AP82" s="23"/>
      <c r="AQ82" s="54"/>
      <c r="AR82" s="23"/>
      <c r="AS82" s="23"/>
      <c r="AT82" s="60"/>
      <c r="AV82" s="23"/>
      <c r="AX82" s="49"/>
      <c r="AY82" s="50"/>
      <c r="AZ82" s="50"/>
      <c r="BA82" s="24"/>
      <c r="BB82" s="24"/>
      <c r="BC82" s="22"/>
      <c r="BD82" s="23"/>
      <c r="BF82" s="48"/>
      <c r="BG82" s="54"/>
      <c r="BL82" s="53"/>
      <c r="BM82" s="53"/>
      <c r="BO82" s="53"/>
      <c r="BP82" s="53"/>
      <c r="BQ82" s="53"/>
      <c r="BR82" s="66"/>
      <c r="BS82" s="66"/>
      <c r="BW82" s="191"/>
      <c r="BX82" s="191"/>
      <c r="BY82" s="53"/>
      <c r="BZ82" s="53"/>
      <c r="CA82" s="53"/>
      <c r="CB82" s="53"/>
      <c r="CC82" s="53"/>
      <c r="CG82" s="53"/>
      <c r="CZ82" s="23"/>
      <c r="DD82" s="361"/>
      <c r="DM82" s="373"/>
    </row>
    <row r="83" spans="8:117" s="3" customFormat="1">
      <c r="H83" s="22"/>
      <c r="I83" s="24"/>
      <c r="J83" s="24"/>
      <c r="K83" s="24"/>
      <c r="L83" s="46"/>
      <c r="M83" s="41"/>
      <c r="N83" s="47"/>
      <c r="O83" s="24"/>
      <c r="P83" s="47"/>
      <c r="R83" s="60"/>
      <c r="S83" s="23"/>
      <c r="T83" s="60"/>
      <c r="U83" s="58"/>
      <c r="V83" s="48"/>
      <c r="W83" s="48"/>
      <c r="X83" s="23"/>
      <c r="Y83" s="23"/>
      <c r="Z83" s="23"/>
      <c r="AA83" s="60"/>
      <c r="AB83" s="55"/>
      <c r="AC83" s="23"/>
      <c r="AJ83" s="48"/>
      <c r="AK83" s="48"/>
      <c r="AL83" s="48"/>
      <c r="AM83" s="60"/>
      <c r="AN83" s="23"/>
      <c r="AO83" s="23"/>
      <c r="AP83" s="23"/>
      <c r="AQ83" s="54"/>
      <c r="AR83" s="23"/>
      <c r="AS83" s="23"/>
      <c r="AT83" s="60"/>
      <c r="AV83" s="23"/>
      <c r="AX83" s="49"/>
      <c r="AY83" s="50"/>
      <c r="AZ83" s="50"/>
      <c r="BA83" s="24"/>
      <c r="BB83" s="24"/>
      <c r="BC83" s="22"/>
      <c r="BD83" s="23"/>
      <c r="BF83" s="48"/>
      <c r="BG83" s="54"/>
      <c r="BL83" s="53"/>
      <c r="BM83" s="53"/>
      <c r="BO83" s="53"/>
      <c r="BP83" s="53"/>
      <c r="BQ83" s="53"/>
      <c r="BR83" s="66"/>
      <c r="BS83" s="66"/>
      <c r="BW83" s="191"/>
      <c r="BX83" s="191"/>
      <c r="BY83" s="53"/>
      <c r="BZ83" s="53"/>
      <c r="CA83" s="53"/>
      <c r="CB83" s="53"/>
      <c r="CC83" s="53"/>
      <c r="CG83" s="53"/>
      <c r="CZ83" s="23"/>
      <c r="DD83" s="361"/>
      <c r="DM83" s="373"/>
    </row>
    <row r="84" spans="8:117" s="3" customFormat="1">
      <c r="H84" s="22"/>
      <c r="I84" s="24"/>
      <c r="J84" s="24"/>
      <c r="K84" s="24"/>
      <c r="L84" s="46"/>
      <c r="M84" s="41"/>
      <c r="N84" s="47"/>
      <c r="O84" s="24"/>
      <c r="P84" s="47"/>
      <c r="R84" s="60"/>
      <c r="S84" s="23"/>
      <c r="T84" s="60"/>
      <c r="U84" s="58"/>
      <c r="V84" s="48"/>
      <c r="W84" s="48"/>
      <c r="X84" s="23"/>
      <c r="Y84" s="23"/>
      <c r="Z84" s="23"/>
      <c r="AA84" s="60"/>
      <c r="AB84" s="55"/>
      <c r="AC84" s="23"/>
      <c r="AJ84" s="48"/>
      <c r="AK84" s="48"/>
      <c r="AL84" s="48"/>
      <c r="AM84" s="60"/>
      <c r="AN84" s="23"/>
      <c r="AO84" s="23"/>
      <c r="AP84" s="23"/>
      <c r="AQ84" s="54"/>
      <c r="AR84" s="23"/>
      <c r="AS84" s="23"/>
      <c r="AT84" s="60"/>
      <c r="AV84" s="23"/>
      <c r="AX84" s="49"/>
      <c r="AY84" s="50"/>
      <c r="AZ84" s="50"/>
      <c r="BA84" s="24"/>
      <c r="BB84" s="24"/>
      <c r="BC84" s="22"/>
      <c r="BD84" s="23"/>
      <c r="BF84" s="48"/>
      <c r="BG84" s="54"/>
      <c r="BL84" s="53"/>
      <c r="BM84" s="53"/>
      <c r="BO84" s="53"/>
      <c r="BP84" s="53"/>
      <c r="BQ84" s="53"/>
      <c r="BR84" s="66"/>
      <c r="BS84" s="66"/>
      <c r="BW84" s="191"/>
      <c r="BX84" s="191"/>
      <c r="BY84" s="53"/>
      <c r="BZ84" s="53"/>
      <c r="CA84" s="53"/>
      <c r="CB84" s="53"/>
      <c r="CC84" s="53"/>
      <c r="CG84" s="53"/>
      <c r="CZ84" s="23"/>
      <c r="DD84" s="361"/>
      <c r="DM84" s="373"/>
    </row>
    <row r="85" spans="8:117" s="3" customFormat="1">
      <c r="H85" s="22"/>
      <c r="I85" s="24"/>
      <c r="J85" s="24"/>
      <c r="K85" s="24"/>
      <c r="L85" s="46"/>
      <c r="M85" s="41"/>
      <c r="N85" s="47"/>
      <c r="O85" s="24"/>
      <c r="P85" s="47"/>
      <c r="R85" s="60"/>
      <c r="S85" s="23"/>
      <c r="T85" s="60"/>
      <c r="U85" s="58"/>
      <c r="V85" s="48"/>
      <c r="W85" s="48"/>
      <c r="X85" s="23"/>
      <c r="Y85" s="23"/>
      <c r="Z85" s="23"/>
      <c r="AA85" s="60"/>
      <c r="AB85" s="55"/>
      <c r="AC85" s="23"/>
      <c r="AJ85" s="48"/>
      <c r="AK85" s="48"/>
      <c r="AL85" s="48"/>
      <c r="AM85" s="60"/>
      <c r="AN85" s="23"/>
      <c r="AO85" s="23"/>
      <c r="AP85" s="23"/>
      <c r="AQ85" s="54"/>
      <c r="AR85" s="23"/>
      <c r="AS85" s="23"/>
      <c r="AT85" s="60"/>
      <c r="AV85" s="23"/>
      <c r="AX85" s="49"/>
      <c r="AY85" s="50"/>
      <c r="AZ85" s="50"/>
      <c r="BA85" s="24"/>
      <c r="BB85" s="24"/>
      <c r="BC85" s="22"/>
      <c r="BD85" s="23"/>
      <c r="BF85" s="48"/>
      <c r="BG85" s="54"/>
      <c r="BL85" s="53"/>
      <c r="BM85" s="53"/>
      <c r="BO85" s="53"/>
      <c r="BP85" s="53"/>
      <c r="BQ85" s="53"/>
      <c r="BR85" s="66"/>
      <c r="BS85" s="66"/>
      <c r="BW85" s="191"/>
      <c r="BX85" s="191"/>
      <c r="BY85" s="53"/>
      <c r="BZ85" s="53"/>
      <c r="CA85" s="53"/>
      <c r="CB85" s="53"/>
      <c r="CC85" s="53"/>
      <c r="CG85" s="53"/>
      <c r="CZ85" s="23"/>
      <c r="DD85" s="361"/>
      <c r="DM85" s="373"/>
    </row>
    <row r="86" spans="8:117" s="3" customFormat="1">
      <c r="H86" s="22"/>
      <c r="I86" s="24"/>
      <c r="J86" s="24"/>
      <c r="K86" s="24"/>
      <c r="L86" s="46"/>
      <c r="M86" s="41"/>
      <c r="N86" s="47"/>
      <c r="O86" s="24"/>
      <c r="P86" s="47"/>
      <c r="R86" s="60"/>
      <c r="S86" s="23"/>
      <c r="T86" s="60"/>
      <c r="U86" s="58"/>
      <c r="V86" s="48"/>
      <c r="W86" s="48"/>
      <c r="X86" s="23"/>
      <c r="Y86" s="23"/>
      <c r="Z86" s="23"/>
      <c r="AA86" s="60"/>
      <c r="AB86" s="55"/>
      <c r="AC86" s="23"/>
      <c r="AJ86" s="48"/>
      <c r="AK86" s="48"/>
      <c r="AL86" s="48"/>
      <c r="AM86" s="60"/>
      <c r="AN86" s="23"/>
      <c r="AO86" s="23"/>
      <c r="AP86" s="23"/>
      <c r="AQ86" s="54"/>
      <c r="AR86" s="23"/>
      <c r="AS86" s="23"/>
      <c r="AT86" s="60"/>
      <c r="AV86" s="23"/>
      <c r="AX86" s="49"/>
      <c r="AY86" s="50"/>
      <c r="AZ86" s="50"/>
      <c r="BA86" s="24"/>
      <c r="BB86" s="24"/>
      <c r="BC86" s="22"/>
      <c r="BD86" s="23"/>
      <c r="BF86" s="48"/>
      <c r="BG86" s="54"/>
      <c r="BL86" s="53"/>
      <c r="BM86" s="53"/>
      <c r="BO86" s="53"/>
      <c r="BP86" s="53"/>
      <c r="BQ86" s="53"/>
      <c r="BR86" s="66"/>
      <c r="BS86" s="66"/>
      <c r="BW86" s="191"/>
      <c r="BX86" s="191"/>
      <c r="BY86" s="53"/>
      <c r="BZ86" s="53"/>
      <c r="CA86" s="53"/>
      <c r="CB86" s="53"/>
      <c r="CC86" s="53"/>
      <c r="CG86" s="53"/>
      <c r="CZ86" s="23"/>
      <c r="DD86" s="361"/>
      <c r="DM86" s="373"/>
    </row>
    <row r="87" spans="8:117" s="3" customFormat="1">
      <c r="H87" s="22"/>
      <c r="I87" s="24"/>
      <c r="J87" s="24"/>
      <c r="K87" s="24"/>
      <c r="L87" s="46"/>
      <c r="M87" s="41"/>
      <c r="N87" s="47"/>
      <c r="O87" s="24"/>
      <c r="P87" s="47"/>
      <c r="R87" s="60"/>
      <c r="S87" s="23"/>
      <c r="T87" s="60"/>
      <c r="U87" s="58"/>
      <c r="V87" s="48"/>
      <c r="W87" s="48"/>
      <c r="X87" s="23"/>
      <c r="Y87" s="23"/>
      <c r="Z87" s="23"/>
      <c r="AA87" s="60"/>
      <c r="AB87" s="55"/>
      <c r="AC87" s="23"/>
      <c r="AJ87" s="48"/>
      <c r="AK87" s="48"/>
      <c r="AL87" s="48"/>
      <c r="AM87" s="60"/>
      <c r="AN87" s="23"/>
      <c r="AO87" s="23"/>
      <c r="AP87" s="23"/>
      <c r="AQ87" s="54"/>
      <c r="AR87" s="23"/>
      <c r="AS87" s="23"/>
      <c r="AT87" s="60"/>
      <c r="AV87" s="23"/>
      <c r="AX87" s="49"/>
      <c r="AY87" s="50"/>
      <c r="AZ87" s="50"/>
      <c r="BA87" s="24"/>
      <c r="BB87" s="24"/>
      <c r="BC87" s="22"/>
      <c r="BD87" s="23"/>
      <c r="BF87" s="48"/>
      <c r="BG87" s="54"/>
      <c r="BL87" s="53"/>
      <c r="BM87" s="53"/>
      <c r="BO87" s="53"/>
      <c r="BP87" s="53"/>
      <c r="BQ87" s="53"/>
      <c r="BR87" s="66"/>
      <c r="BS87" s="66"/>
      <c r="BW87" s="191"/>
      <c r="BX87" s="191"/>
      <c r="BY87" s="53"/>
      <c r="BZ87" s="53"/>
      <c r="CA87" s="53"/>
      <c r="CB87" s="53"/>
      <c r="CC87" s="53"/>
      <c r="CG87" s="53"/>
      <c r="CZ87" s="23"/>
      <c r="DD87" s="361"/>
      <c r="DM87" s="373"/>
    </row>
    <row r="88" spans="8:117" s="3" customFormat="1">
      <c r="H88" s="22"/>
      <c r="I88" s="24"/>
      <c r="J88" s="24"/>
      <c r="K88" s="24"/>
      <c r="L88" s="46"/>
      <c r="M88" s="41"/>
      <c r="N88" s="47"/>
      <c r="O88" s="24"/>
      <c r="P88" s="47"/>
      <c r="R88" s="60"/>
      <c r="S88" s="23"/>
      <c r="T88" s="60"/>
      <c r="U88" s="58"/>
      <c r="V88" s="48"/>
      <c r="W88" s="48"/>
      <c r="X88" s="23"/>
      <c r="Y88" s="23"/>
      <c r="Z88" s="23"/>
      <c r="AA88" s="60"/>
      <c r="AB88" s="55"/>
      <c r="AC88" s="23"/>
      <c r="AJ88" s="48"/>
      <c r="AK88" s="48"/>
      <c r="AL88" s="48"/>
      <c r="AM88" s="60"/>
      <c r="AN88" s="23"/>
      <c r="AO88" s="23"/>
      <c r="AP88" s="23"/>
      <c r="AQ88" s="54"/>
      <c r="AR88" s="23"/>
      <c r="AS88" s="23"/>
      <c r="AT88" s="60"/>
      <c r="AV88" s="23"/>
      <c r="AX88" s="49"/>
      <c r="AY88" s="50"/>
      <c r="AZ88" s="50"/>
      <c r="BA88" s="24"/>
      <c r="BB88" s="24"/>
      <c r="BC88" s="22"/>
      <c r="BD88" s="23"/>
      <c r="BF88" s="48"/>
      <c r="BG88" s="54"/>
      <c r="BL88" s="53"/>
      <c r="BM88" s="53"/>
      <c r="BO88" s="53"/>
      <c r="BP88" s="53"/>
      <c r="BQ88" s="53"/>
      <c r="BR88" s="66"/>
      <c r="BS88" s="66"/>
      <c r="BW88" s="191"/>
      <c r="BX88" s="191"/>
      <c r="BY88" s="53"/>
      <c r="BZ88" s="53"/>
      <c r="CA88" s="53"/>
      <c r="CB88" s="53"/>
      <c r="CC88" s="53"/>
      <c r="CG88" s="53"/>
      <c r="CZ88" s="23"/>
      <c r="DD88" s="361"/>
      <c r="DM88" s="373"/>
    </row>
    <row r="89" spans="8:117" s="3" customFormat="1">
      <c r="H89" s="22"/>
      <c r="I89" s="24"/>
      <c r="J89" s="24"/>
      <c r="K89" s="24"/>
      <c r="L89" s="46"/>
      <c r="M89" s="41"/>
      <c r="N89" s="47"/>
      <c r="O89" s="24"/>
      <c r="P89" s="47"/>
      <c r="R89" s="60"/>
      <c r="S89" s="23"/>
      <c r="T89" s="60"/>
      <c r="U89" s="58"/>
      <c r="V89" s="48"/>
      <c r="W89" s="48"/>
      <c r="X89" s="23"/>
      <c r="Y89" s="23"/>
      <c r="Z89" s="23"/>
      <c r="AA89" s="60"/>
      <c r="AB89" s="55"/>
      <c r="AC89" s="23"/>
      <c r="AJ89" s="48"/>
      <c r="AK89" s="48"/>
      <c r="AL89" s="48"/>
      <c r="AM89" s="60"/>
      <c r="AN89" s="23"/>
      <c r="AO89" s="23"/>
      <c r="AP89" s="23"/>
      <c r="AQ89" s="54"/>
      <c r="AR89" s="23"/>
      <c r="AS89" s="23"/>
      <c r="AT89" s="60"/>
      <c r="AV89" s="23"/>
      <c r="AX89" s="49"/>
      <c r="AY89" s="50"/>
      <c r="AZ89" s="50"/>
      <c r="BA89" s="24"/>
      <c r="BB89" s="24"/>
      <c r="BC89" s="22"/>
      <c r="BD89" s="23"/>
      <c r="BF89" s="48"/>
      <c r="BG89" s="54"/>
      <c r="BL89" s="53"/>
      <c r="BM89" s="53"/>
      <c r="BO89" s="53"/>
      <c r="BP89" s="53"/>
      <c r="BQ89" s="53"/>
      <c r="BR89" s="66"/>
      <c r="BS89" s="66"/>
      <c r="BW89" s="191"/>
      <c r="BX89" s="191"/>
      <c r="BY89" s="53"/>
      <c r="BZ89" s="53"/>
      <c r="CA89" s="53"/>
      <c r="CB89" s="53"/>
      <c r="CC89" s="53"/>
      <c r="CG89" s="53"/>
      <c r="CZ89" s="23"/>
      <c r="DD89" s="361"/>
      <c r="DM89" s="373"/>
    </row>
    <row r="90" spans="8:117" s="3" customFormat="1">
      <c r="H90" s="22"/>
      <c r="I90" s="24"/>
      <c r="J90" s="24"/>
      <c r="K90" s="24"/>
      <c r="L90" s="46"/>
      <c r="M90" s="41"/>
      <c r="N90" s="47"/>
      <c r="O90" s="24"/>
      <c r="P90" s="47"/>
      <c r="R90" s="60"/>
      <c r="S90" s="23"/>
      <c r="T90" s="60"/>
      <c r="U90" s="58"/>
      <c r="V90" s="48"/>
      <c r="W90" s="48"/>
      <c r="X90" s="23"/>
      <c r="Y90" s="23"/>
      <c r="Z90" s="23"/>
      <c r="AA90" s="60"/>
      <c r="AB90" s="55"/>
      <c r="AC90" s="23"/>
      <c r="AJ90" s="48"/>
      <c r="AK90" s="48"/>
      <c r="AL90" s="48"/>
      <c r="AM90" s="60"/>
      <c r="AN90" s="23"/>
      <c r="AO90" s="23"/>
      <c r="AP90" s="23"/>
      <c r="AQ90" s="54"/>
      <c r="AR90" s="23"/>
      <c r="AS90" s="23"/>
      <c r="AT90" s="60"/>
      <c r="AV90" s="23"/>
      <c r="AX90" s="49"/>
      <c r="AY90" s="50"/>
      <c r="AZ90" s="50"/>
      <c r="BA90" s="24"/>
      <c r="BB90" s="24"/>
      <c r="BC90" s="22"/>
      <c r="BD90" s="23"/>
      <c r="BF90" s="48"/>
      <c r="BG90" s="54"/>
      <c r="BL90" s="53"/>
      <c r="BM90" s="53"/>
      <c r="BO90" s="53"/>
      <c r="BP90" s="53"/>
      <c r="BQ90" s="53"/>
      <c r="BR90" s="66"/>
      <c r="BS90" s="66"/>
      <c r="BW90" s="191"/>
      <c r="BX90" s="191"/>
      <c r="BY90" s="53"/>
      <c r="BZ90" s="53"/>
      <c r="CA90" s="53"/>
      <c r="CB90" s="53"/>
      <c r="CC90" s="53"/>
      <c r="CG90" s="53"/>
      <c r="CZ90" s="23"/>
      <c r="DD90" s="361"/>
      <c r="DM90" s="373"/>
    </row>
    <row r="91" spans="8:117" s="3" customFormat="1">
      <c r="H91" s="22"/>
      <c r="I91" s="24"/>
      <c r="J91" s="24"/>
      <c r="K91" s="24"/>
      <c r="L91" s="46"/>
      <c r="M91" s="41"/>
      <c r="N91" s="47"/>
      <c r="O91" s="24"/>
      <c r="P91" s="47"/>
      <c r="R91" s="60"/>
      <c r="S91" s="23"/>
      <c r="T91" s="60"/>
      <c r="U91" s="58"/>
      <c r="V91" s="48"/>
      <c r="W91" s="48"/>
      <c r="X91" s="23"/>
      <c r="Y91" s="23"/>
      <c r="Z91" s="23"/>
      <c r="AA91" s="60"/>
      <c r="AB91" s="55"/>
      <c r="AC91" s="23"/>
      <c r="AJ91" s="48"/>
      <c r="AK91" s="48"/>
      <c r="AL91" s="48"/>
      <c r="AM91" s="60"/>
      <c r="AN91" s="23"/>
      <c r="AO91" s="23"/>
      <c r="AP91" s="23"/>
      <c r="AQ91" s="54"/>
      <c r="AR91" s="23"/>
      <c r="AS91" s="23"/>
      <c r="AT91" s="60"/>
      <c r="AV91" s="23"/>
      <c r="AX91" s="49"/>
      <c r="AY91" s="50"/>
      <c r="AZ91" s="50"/>
      <c r="BA91" s="24"/>
      <c r="BB91" s="24"/>
      <c r="BC91" s="22"/>
      <c r="BD91" s="23"/>
      <c r="BF91" s="48"/>
      <c r="BG91" s="54"/>
      <c r="BL91" s="53"/>
      <c r="BM91" s="53"/>
      <c r="BO91" s="53"/>
      <c r="BP91" s="53"/>
      <c r="BQ91" s="53"/>
      <c r="BR91" s="66"/>
      <c r="BS91" s="66"/>
      <c r="BW91" s="191"/>
      <c r="BX91" s="191"/>
      <c r="BY91" s="53"/>
      <c r="BZ91" s="53"/>
      <c r="CA91" s="53"/>
      <c r="CB91" s="53"/>
      <c r="CC91" s="53"/>
      <c r="CG91" s="53"/>
      <c r="CZ91" s="23"/>
      <c r="DD91" s="361"/>
      <c r="DM91" s="373"/>
    </row>
    <row r="92" spans="8:117" s="3" customFormat="1">
      <c r="H92" s="22"/>
      <c r="I92" s="24"/>
      <c r="J92" s="24"/>
      <c r="K92" s="24"/>
      <c r="L92" s="46"/>
      <c r="M92" s="41"/>
      <c r="N92" s="47"/>
      <c r="O92" s="24"/>
      <c r="P92" s="47"/>
      <c r="R92" s="60"/>
      <c r="S92" s="23"/>
      <c r="T92" s="60"/>
      <c r="U92" s="58"/>
      <c r="V92" s="48"/>
      <c r="W92" s="48"/>
      <c r="X92" s="23"/>
      <c r="Y92" s="23"/>
      <c r="Z92" s="23"/>
      <c r="AA92" s="60"/>
      <c r="AB92" s="55"/>
      <c r="AC92" s="23"/>
      <c r="AJ92" s="48"/>
      <c r="AK92" s="48"/>
      <c r="AL92" s="48"/>
      <c r="AM92" s="60"/>
      <c r="AN92" s="23"/>
      <c r="AO92" s="23"/>
      <c r="AP92" s="23"/>
      <c r="AQ92" s="54"/>
      <c r="AR92" s="23"/>
      <c r="AS92" s="23"/>
      <c r="AT92" s="60"/>
      <c r="AV92" s="23"/>
      <c r="AX92" s="49"/>
      <c r="AY92" s="50"/>
      <c r="AZ92" s="50"/>
      <c r="BA92" s="24"/>
      <c r="BB92" s="24"/>
      <c r="BC92" s="22"/>
      <c r="BD92" s="23"/>
      <c r="BF92" s="48"/>
      <c r="BG92" s="54"/>
      <c r="BL92" s="53"/>
      <c r="BM92" s="53"/>
      <c r="BO92" s="53"/>
      <c r="BP92" s="53"/>
      <c r="BQ92" s="53"/>
      <c r="BR92" s="66"/>
      <c r="BS92" s="66"/>
      <c r="BW92" s="191"/>
      <c r="BX92" s="191"/>
      <c r="BY92" s="53"/>
      <c r="BZ92" s="53"/>
      <c r="CA92" s="53"/>
      <c r="CB92" s="53"/>
      <c r="CC92" s="53"/>
      <c r="CG92" s="53"/>
      <c r="CZ92" s="23"/>
      <c r="DD92" s="361"/>
      <c r="DM92" s="373"/>
    </row>
    <row r="93" spans="8:117" s="3" customFormat="1">
      <c r="H93" s="22"/>
      <c r="I93" s="24"/>
      <c r="J93" s="24"/>
      <c r="K93" s="24"/>
      <c r="L93" s="46"/>
      <c r="M93" s="41"/>
      <c r="N93" s="47"/>
      <c r="O93" s="24"/>
      <c r="P93" s="47"/>
      <c r="R93" s="60"/>
      <c r="S93" s="23"/>
      <c r="T93" s="60"/>
      <c r="U93" s="58"/>
      <c r="V93" s="48"/>
      <c r="W93" s="48"/>
      <c r="X93" s="23"/>
      <c r="Y93" s="23"/>
      <c r="Z93" s="23"/>
      <c r="AA93" s="60"/>
      <c r="AB93" s="55"/>
      <c r="AC93" s="23"/>
      <c r="AJ93" s="48"/>
      <c r="AK93" s="48"/>
      <c r="AL93" s="48"/>
      <c r="AM93" s="60"/>
      <c r="AN93" s="23"/>
      <c r="AO93" s="23"/>
      <c r="AP93" s="23"/>
      <c r="AQ93" s="54"/>
      <c r="AR93" s="23"/>
      <c r="AS93" s="23"/>
      <c r="AT93" s="60"/>
      <c r="AV93" s="23"/>
      <c r="AX93" s="49"/>
      <c r="AY93" s="50"/>
      <c r="AZ93" s="50"/>
      <c r="BA93" s="24"/>
      <c r="BB93" s="24"/>
      <c r="BC93" s="22"/>
      <c r="BD93" s="23"/>
      <c r="BF93" s="48"/>
      <c r="BG93" s="54"/>
      <c r="BL93" s="53"/>
      <c r="BM93" s="53"/>
      <c r="BO93" s="53"/>
      <c r="BP93" s="53"/>
      <c r="BQ93" s="53"/>
      <c r="BR93" s="66"/>
      <c r="BS93" s="66"/>
      <c r="BW93" s="191"/>
      <c r="BX93" s="191"/>
      <c r="BY93" s="53"/>
      <c r="BZ93" s="53"/>
      <c r="CA93" s="53"/>
      <c r="CB93" s="53"/>
      <c r="CC93" s="53"/>
      <c r="CG93" s="53"/>
      <c r="CZ93" s="23"/>
      <c r="DD93" s="361"/>
      <c r="DM93" s="373"/>
    </row>
    <row r="94" spans="8:117" s="3" customFormat="1">
      <c r="H94" s="22"/>
      <c r="I94" s="24"/>
      <c r="J94" s="24"/>
      <c r="K94" s="24"/>
      <c r="L94" s="46"/>
      <c r="M94" s="41"/>
      <c r="N94" s="47"/>
      <c r="O94" s="24"/>
      <c r="P94" s="47"/>
      <c r="R94" s="60"/>
      <c r="S94" s="23"/>
      <c r="T94" s="60"/>
      <c r="U94" s="58"/>
      <c r="V94" s="48"/>
      <c r="W94" s="48"/>
      <c r="X94" s="23"/>
      <c r="Y94" s="23"/>
      <c r="Z94" s="23"/>
      <c r="AA94" s="60"/>
      <c r="AB94" s="55"/>
      <c r="AC94" s="23"/>
      <c r="AJ94" s="48"/>
      <c r="AK94" s="48"/>
      <c r="AL94" s="48"/>
      <c r="AM94" s="60"/>
      <c r="AN94" s="23"/>
      <c r="AO94" s="23"/>
      <c r="AP94" s="23"/>
      <c r="AQ94" s="54"/>
      <c r="AR94" s="23"/>
      <c r="AS94" s="23"/>
      <c r="AT94" s="60"/>
      <c r="AV94" s="23"/>
      <c r="AX94" s="49"/>
      <c r="AY94" s="50"/>
      <c r="AZ94" s="50"/>
      <c r="BA94" s="24"/>
      <c r="BB94" s="24"/>
      <c r="BC94" s="22"/>
      <c r="BD94" s="23"/>
      <c r="BF94" s="48"/>
      <c r="BG94" s="54"/>
      <c r="BL94" s="53"/>
      <c r="BM94" s="53"/>
      <c r="BO94" s="53"/>
      <c r="BP94" s="53"/>
      <c r="BQ94" s="53"/>
      <c r="BR94" s="66"/>
      <c r="BS94" s="66"/>
      <c r="BW94" s="191"/>
      <c r="BX94" s="191"/>
      <c r="BY94" s="53"/>
      <c r="BZ94" s="53"/>
      <c r="CA94" s="53"/>
      <c r="CB94" s="53"/>
      <c r="CC94" s="53"/>
      <c r="CG94" s="53"/>
      <c r="CZ94" s="23"/>
      <c r="DD94" s="361"/>
      <c r="DM94" s="373"/>
    </row>
    <row r="95" spans="8:117" s="3" customFormat="1">
      <c r="H95" s="22"/>
      <c r="I95" s="24"/>
      <c r="J95" s="24"/>
      <c r="K95" s="24"/>
      <c r="L95" s="46"/>
      <c r="M95" s="41"/>
      <c r="N95" s="47"/>
      <c r="O95" s="24"/>
      <c r="P95" s="47"/>
      <c r="R95" s="60"/>
      <c r="S95" s="23"/>
      <c r="T95" s="60"/>
      <c r="U95" s="58"/>
      <c r="V95" s="48"/>
      <c r="W95" s="48"/>
      <c r="X95" s="23"/>
      <c r="Y95" s="23"/>
      <c r="Z95" s="23"/>
      <c r="AA95" s="60"/>
      <c r="AB95" s="55"/>
      <c r="AC95" s="23"/>
      <c r="AJ95" s="48"/>
      <c r="AK95" s="48"/>
      <c r="AL95" s="48"/>
      <c r="AM95" s="60"/>
      <c r="AN95" s="23"/>
      <c r="AO95" s="23"/>
      <c r="AP95" s="23"/>
      <c r="AQ95" s="54"/>
      <c r="AR95" s="23"/>
      <c r="AS95" s="23"/>
      <c r="AT95" s="60"/>
      <c r="AV95" s="23"/>
      <c r="AX95" s="49"/>
      <c r="AY95" s="50"/>
      <c r="AZ95" s="50"/>
      <c r="BA95" s="24"/>
      <c r="BB95" s="24"/>
      <c r="BC95" s="22"/>
      <c r="BD95" s="23"/>
      <c r="BF95" s="48"/>
      <c r="BG95" s="54"/>
      <c r="BL95" s="53"/>
      <c r="BM95" s="53"/>
      <c r="BO95" s="53"/>
      <c r="BP95" s="53"/>
      <c r="BQ95" s="53"/>
      <c r="BR95" s="66"/>
      <c r="BS95" s="66"/>
      <c r="BW95" s="191"/>
      <c r="BX95" s="191"/>
      <c r="BY95" s="53"/>
      <c r="BZ95" s="53"/>
      <c r="CA95" s="53"/>
      <c r="CB95" s="53"/>
      <c r="CC95" s="53"/>
      <c r="CG95" s="53"/>
      <c r="CZ95" s="23"/>
      <c r="DD95" s="361"/>
      <c r="DM95" s="373"/>
    </row>
    <row r="96" spans="8:117" s="3" customFormat="1">
      <c r="H96" s="22"/>
      <c r="I96" s="24"/>
      <c r="J96" s="24"/>
      <c r="K96" s="24"/>
      <c r="L96" s="46"/>
      <c r="M96" s="41"/>
      <c r="N96" s="47"/>
      <c r="O96" s="24"/>
      <c r="P96" s="47"/>
      <c r="R96" s="60"/>
      <c r="S96" s="23"/>
      <c r="T96" s="60"/>
      <c r="U96" s="58"/>
      <c r="V96" s="48"/>
      <c r="W96" s="48"/>
      <c r="X96" s="23"/>
      <c r="Y96" s="23"/>
      <c r="Z96" s="23"/>
      <c r="AA96" s="60"/>
      <c r="AB96" s="55"/>
      <c r="AC96" s="23"/>
      <c r="AJ96" s="48"/>
      <c r="AK96" s="48"/>
      <c r="AL96" s="48"/>
      <c r="AM96" s="60"/>
      <c r="AN96" s="23"/>
      <c r="AO96" s="23"/>
      <c r="AP96" s="23"/>
      <c r="AQ96" s="54"/>
      <c r="AR96" s="23"/>
      <c r="AS96" s="23"/>
      <c r="AT96" s="60"/>
      <c r="AV96" s="23"/>
      <c r="AX96" s="49"/>
      <c r="AY96" s="50"/>
      <c r="AZ96" s="50"/>
      <c r="BA96" s="24"/>
      <c r="BB96" s="24"/>
      <c r="BC96" s="22"/>
      <c r="BD96" s="23"/>
      <c r="BF96" s="48"/>
      <c r="BG96" s="54"/>
      <c r="BL96" s="53"/>
      <c r="BM96" s="53"/>
      <c r="BO96" s="53"/>
      <c r="BP96" s="53"/>
      <c r="BQ96" s="53"/>
      <c r="BR96" s="66"/>
      <c r="BS96" s="66"/>
      <c r="BW96" s="191"/>
      <c r="BX96" s="191"/>
      <c r="BY96" s="53"/>
      <c r="BZ96" s="53"/>
      <c r="CA96" s="53"/>
      <c r="CB96" s="53"/>
      <c r="CC96" s="53"/>
      <c r="CG96" s="53"/>
      <c r="CZ96" s="23"/>
      <c r="DD96" s="361"/>
      <c r="DM96" s="373"/>
    </row>
    <row r="97" spans="8:117" s="3" customFormat="1">
      <c r="H97" s="22"/>
      <c r="I97" s="24"/>
      <c r="J97" s="24"/>
      <c r="K97" s="24"/>
      <c r="L97" s="46"/>
      <c r="M97" s="41"/>
      <c r="N97" s="47"/>
      <c r="O97" s="24"/>
      <c r="P97" s="47"/>
      <c r="R97" s="60"/>
      <c r="S97" s="23"/>
      <c r="T97" s="60"/>
      <c r="U97" s="58"/>
      <c r="V97" s="48"/>
      <c r="W97" s="48"/>
      <c r="X97" s="23"/>
      <c r="Y97" s="23"/>
      <c r="Z97" s="23"/>
      <c r="AA97" s="60"/>
      <c r="AB97" s="55"/>
      <c r="AC97" s="23"/>
      <c r="AJ97" s="48"/>
      <c r="AK97" s="48"/>
      <c r="AL97" s="48"/>
      <c r="AM97" s="60"/>
      <c r="AN97" s="23"/>
      <c r="AO97" s="23"/>
      <c r="AP97" s="23"/>
      <c r="AQ97" s="54"/>
      <c r="AR97" s="23"/>
      <c r="AS97" s="23"/>
      <c r="AT97" s="60"/>
      <c r="AV97" s="23"/>
      <c r="AX97" s="49"/>
      <c r="AY97" s="50"/>
      <c r="AZ97" s="50"/>
      <c r="BA97" s="24"/>
      <c r="BB97" s="24"/>
      <c r="BC97" s="22"/>
      <c r="BD97" s="23"/>
      <c r="BF97" s="48"/>
      <c r="BG97" s="54"/>
      <c r="BL97" s="53"/>
      <c r="BM97" s="53"/>
      <c r="BO97" s="53"/>
      <c r="BP97" s="53"/>
      <c r="BQ97" s="53"/>
      <c r="BR97" s="66"/>
      <c r="BS97" s="66"/>
      <c r="BW97" s="191"/>
      <c r="BX97" s="191"/>
      <c r="BY97" s="53"/>
      <c r="BZ97" s="53"/>
      <c r="CA97" s="53"/>
      <c r="CB97" s="53"/>
      <c r="CC97" s="53"/>
      <c r="CG97" s="53"/>
      <c r="CZ97" s="23"/>
      <c r="DD97" s="361"/>
      <c r="DM97" s="373"/>
    </row>
    <row r="98" spans="8:117" s="3" customFormat="1">
      <c r="H98" s="22"/>
      <c r="I98" s="24"/>
      <c r="J98" s="24"/>
      <c r="K98" s="24"/>
      <c r="L98" s="46"/>
      <c r="M98" s="41"/>
      <c r="N98" s="47"/>
      <c r="O98" s="24"/>
      <c r="P98" s="47"/>
      <c r="R98" s="60"/>
      <c r="S98" s="23"/>
      <c r="T98" s="60"/>
      <c r="U98" s="58"/>
      <c r="V98" s="48"/>
      <c r="W98" s="48"/>
      <c r="X98" s="23"/>
      <c r="Y98" s="23"/>
      <c r="Z98" s="23"/>
      <c r="AA98" s="60"/>
      <c r="AB98" s="55"/>
      <c r="AC98" s="23"/>
      <c r="AJ98" s="48"/>
      <c r="AK98" s="48"/>
      <c r="AL98" s="48"/>
      <c r="AM98" s="60"/>
      <c r="AN98" s="23"/>
      <c r="AO98" s="23"/>
      <c r="AP98" s="23"/>
      <c r="AQ98" s="54"/>
      <c r="AR98" s="23"/>
      <c r="AS98" s="23"/>
      <c r="AT98" s="60"/>
      <c r="AV98" s="23"/>
      <c r="AX98" s="49"/>
      <c r="AY98" s="50"/>
      <c r="AZ98" s="50"/>
      <c r="BA98" s="24"/>
      <c r="BB98" s="24"/>
      <c r="BC98" s="22"/>
      <c r="BD98" s="23"/>
      <c r="BF98" s="48"/>
      <c r="BG98" s="54"/>
      <c r="BL98" s="53"/>
      <c r="BM98" s="53"/>
      <c r="BO98" s="53"/>
      <c r="BP98" s="53"/>
      <c r="BQ98" s="53"/>
      <c r="BR98" s="66"/>
      <c r="BS98" s="66"/>
      <c r="BW98" s="191"/>
      <c r="BX98" s="191"/>
      <c r="BY98" s="53"/>
      <c r="BZ98" s="53"/>
      <c r="CA98" s="53"/>
      <c r="CB98" s="53"/>
      <c r="CC98" s="53"/>
      <c r="CG98" s="53"/>
      <c r="CZ98" s="23"/>
      <c r="DD98" s="361"/>
      <c r="DM98" s="373"/>
    </row>
    <row r="99" spans="8:117" s="3" customFormat="1">
      <c r="H99" s="22"/>
      <c r="I99" s="24"/>
      <c r="J99" s="24"/>
      <c r="K99" s="24"/>
      <c r="L99" s="46"/>
      <c r="M99" s="41"/>
      <c r="N99" s="47"/>
      <c r="O99" s="24"/>
      <c r="P99" s="47"/>
      <c r="R99" s="60"/>
      <c r="S99" s="23"/>
      <c r="T99" s="60"/>
      <c r="U99" s="58"/>
      <c r="V99" s="48"/>
      <c r="W99" s="48"/>
      <c r="X99" s="23"/>
      <c r="Y99" s="23"/>
      <c r="Z99" s="23"/>
      <c r="AA99" s="60"/>
      <c r="AB99" s="55"/>
      <c r="AC99" s="23"/>
      <c r="AJ99" s="48"/>
      <c r="AK99" s="48"/>
      <c r="AL99" s="48"/>
      <c r="AM99" s="60"/>
      <c r="AN99" s="23"/>
      <c r="AO99" s="23"/>
      <c r="AP99" s="23"/>
      <c r="AQ99" s="54"/>
      <c r="AR99" s="23"/>
      <c r="AS99" s="23"/>
      <c r="AT99" s="60"/>
      <c r="AV99" s="23"/>
      <c r="AX99" s="49"/>
      <c r="AY99" s="50"/>
      <c r="AZ99" s="50"/>
      <c r="BA99" s="24"/>
      <c r="BB99" s="24"/>
      <c r="BC99" s="22"/>
      <c r="BD99" s="23"/>
      <c r="BF99" s="48"/>
      <c r="BG99" s="54"/>
      <c r="BL99" s="53"/>
      <c r="BM99" s="53"/>
      <c r="BO99" s="53"/>
      <c r="BP99" s="53"/>
      <c r="BQ99" s="53"/>
      <c r="BR99" s="66"/>
      <c r="BS99" s="66"/>
      <c r="BW99" s="191"/>
      <c r="BX99" s="191"/>
      <c r="BY99" s="53"/>
      <c r="BZ99" s="53"/>
      <c r="CA99" s="53"/>
      <c r="CB99" s="53"/>
      <c r="CC99" s="53"/>
      <c r="CG99" s="53"/>
      <c r="CZ99" s="23"/>
      <c r="DD99" s="361"/>
      <c r="DM99" s="373"/>
    </row>
    <row r="100" spans="8:117" s="3" customFormat="1">
      <c r="H100" s="22"/>
      <c r="I100" s="24"/>
      <c r="J100" s="24"/>
      <c r="K100" s="24"/>
      <c r="L100" s="46"/>
      <c r="M100" s="41"/>
      <c r="N100" s="47"/>
      <c r="O100" s="24"/>
      <c r="P100" s="47"/>
      <c r="R100" s="60"/>
      <c r="S100" s="23"/>
      <c r="T100" s="60"/>
      <c r="U100" s="58"/>
      <c r="V100" s="48"/>
      <c r="W100" s="48"/>
      <c r="X100" s="23"/>
      <c r="Y100" s="23"/>
      <c r="Z100" s="23"/>
      <c r="AA100" s="60"/>
      <c r="AB100" s="55"/>
      <c r="AC100" s="23"/>
      <c r="AJ100" s="48"/>
      <c r="AK100" s="48"/>
      <c r="AL100" s="48"/>
      <c r="AM100" s="60"/>
      <c r="AN100" s="23"/>
      <c r="AO100" s="23"/>
      <c r="AP100" s="23"/>
      <c r="AQ100" s="54"/>
      <c r="AR100" s="23"/>
      <c r="AS100" s="23"/>
      <c r="AT100" s="60"/>
      <c r="AV100" s="23"/>
      <c r="AX100" s="49"/>
      <c r="AY100" s="50"/>
      <c r="AZ100" s="50"/>
      <c r="BA100" s="24"/>
      <c r="BB100" s="24"/>
      <c r="BC100" s="22"/>
      <c r="BD100" s="23"/>
      <c r="BF100" s="48"/>
      <c r="BG100" s="54"/>
      <c r="BL100" s="53"/>
      <c r="BM100" s="53"/>
      <c r="BO100" s="53"/>
      <c r="BP100" s="53"/>
      <c r="BQ100" s="53"/>
      <c r="BR100" s="66"/>
      <c r="BS100" s="66"/>
      <c r="BW100" s="191"/>
      <c r="BX100" s="191"/>
      <c r="BY100" s="53"/>
      <c r="BZ100" s="53"/>
      <c r="CA100" s="53"/>
      <c r="CB100" s="53"/>
      <c r="CC100" s="53"/>
      <c r="CG100" s="53"/>
      <c r="CZ100" s="23"/>
      <c r="DD100" s="361"/>
      <c r="DM100" s="373"/>
    </row>
    <row r="101" spans="8:117" s="3" customFormat="1">
      <c r="H101" s="22"/>
      <c r="I101" s="24"/>
      <c r="J101" s="24"/>
      <c r="K101" s="24"/>
      <c r="L101" s="46"/>
      <c r="M101" s="41"/>
      <c r="N101" s="47"/>
      <c r="O101" s="24"/>
      <c r="P101" s="47"/>
      <c r="R101" s="60"/>
      <c r="S101" s="23"/>
      <c r="T101" s="60"/>
      <c r="U101" s="58"/>
      <c r="V101" s="48"/>
      <c r="W101" s="48"/>
      <c r="X101" s="23"/>
      <c r="Y101" s="23"/>
      <c r="Z101" s="23"/>
      <c r="AA101" s="60"/>
      <c r="AB101" s="55"/>
      <c r="AC101" s="23"/>
      <c r="AJ101" s="48"/>
      <c r="AK101" s="48"/>
      <c r="AL101" s="48"/>
      <c r="AM101" s="60"/>
      <c r="AN101" s="23"/>
      <c r="AO101" s="23"/>
      <c r="AP101" s="23"/>
      <c r="AQ101" s="54"/>
      <c r="AR101" s="23"/>
      <c r="AS101" s="23"/>
      <c r="AT101" s="60"/>
      <c r="AV101" s="23"/>
      <c r="AX101" s="49"/>
      <c r="AY101" s="50"/>
      <c r="AZ101" s="50"/>
      <c r="BA101" s="24"/>
      <c r="BB101" s="24"/>
      <c r="BC101" s="22"/>
      <c r="BD101" s="23"/>
      <c r="BF101" s="48"/>
      <c r="BG101" s="54"/>
      <c r="BL101" s="53"/>
      <c r="BM101" s="53"/>
      <c r="BO101" s="53"/>
      <c r="BP101" s="53"/>
      <c r="BQ101" s="53"/>
      <c r="BR101" s="66"/>
      <c r="BS101" s="66"/>
      <c r="BW101" s="191"/>
      <c r="BX101" s="191"/>
      <c r="BY101" s="53"/>
      <c r="BZ101" s="53"/>
      <c r="CA101" s="53"/>
      <c r="CB101" s="53"/>
      <c r="CC101" s="53"/>
      <c r="CG101" s="53"/>
      <c r="CZ101" s="23"/>
      <c r="DD101" s="361"/>
      <c r="DM101" s="373"/>
    </row>
    <row r="102" spans="8:117" s="3" customFormat="1">
      <c r="H102" s="22"/>
      <c r="I102" s="24"/>
      <c r="J102" s="24"/>
      <c r="K102" s="24"/>
      <c r="L102" s="46"/>
      <c r="M102" s="41"/>
      <c r="N102" s="47"/>
      <c r="O102" s="24"/>
      <c r="P102" s="47"/>
      <c r="R102" s="60"/>
      <c r="S102" s="23"/>
      <c r="T102" s="60"/>
      <c r="U102" s="58"/>
      <c r="V102" s="48"/>
      <c r="W102" s="48"/>
      <c r="X102" s="23"/>
      <c r="Y102" s="23"/>
      <c r="Z102" s="23"/>
      <c r="AA102" s="60"/>
      <c r="AB102" s="55"/>
      <c r="AC102" s="23"/>
      <c r="AJ102" s="48"/>
      <c r="AK102" s="48"/>
      <c r="AL102" s="48"/>
      <c r="AM102" s="60"/>
      <c r="AN102" s="23"/>
      <c r="AO102" s="23"/>
      <c r="AP102" s="23"/>
      <c r="AQ102" s="54"/>
      <c r="AR102" s="23"/>
      <c r="AS102" s="23"/>
      <c r="AT102" s="60"/>
      <c r="AV102" s="23"/>
      <c r="AX102" s="49"/>
      <c r="AY102" s="50"/>
      <c r="AZ102" s="50"/>
      <c r="BA102" s="24"/>
      <c r="BB102" s="24"/>
      <c r="BC102" s="22"/>
      <c r="BD102" s="23"/>
      <c r="BF102" s="48"/>
      <c r="BG102" s="54"/>
      <c r="BL102" s="53"/>
      <c r="BM102" s="53"/>
      <c r="BO102" s="53"/>
      <c r="BP102" s="53"/>
      <c r="BQ102" s="53"/>
      <c r="BR102" s="66"/>
      <c r="BS102" s="66"/>
      <c r="BW102" s="191"/>
      <c r="BX102" s="191"/>
      <c r="BY102" s="53"/>
      <c r="BZ102" s="53"/>
      <c r="CA102" s="53"/>
      <c r="CB102" s="53"/>
      <c r="CC102" s="53"/>
      <c r="CG102" s="53"/>
      <c r="CZ102" s="23"/>
      <c r="DD102" s="361"/>
      <c r="DM102" s="373"/>
    </row>
    <row r="103" spans="8:117" s="3" customFormat="1">
      <c r="H103" s="22"/>
      <c r="I103" s="24"/>
      <c r="J103" s="24"/>
      <c r="K103" s="24"/>
      <c r="L103" s="46"/>
      <c r="M103" s="41"/>
      <c r="N103" s="47"/>
      <c r="O103" s="24"/>
      <c r="P103" s="47"/>
      <c r="R103" s="60"/>
      <c r="S103" s="23"/>
      <c r="T103" s="60"/>
      <c r="U103" s="58"/>
      <c r="V103" s="48"/>
      <c r="W103" s="48"/>
      <c r="X103" s="23"/>
      <c r="Y103" s="23"/>
      <c r="Z103" s="23"/>
      <c r="AA103" s="60"/>
      <c r="AB103" s="55"/>
      <c r="AC103" s="23"/>
      <c r="AJ103" s="48"/>
      <c r="AK103" s="48"/>
      <c r="AL103" s="48"/>
      <c r="AM103" s="60"/>
      <c r="AN103" s="23"/>
      <c r="AO103" s="23"/>
      <c r="AP103" s="23"/>
      <c r="AQ103" s="54"/>
      <c r="AR103" s="23"/>
      <c r="AS103" s="23"/>
      <c r="AT103" s="60"/>
      <c r="AV103" s="23"/>
      <c r="AX103" s="49"/>
      <c r="AY103" s="50"/>
      <c r="AZ103" s="50"/>
      <c r="BA103" s="24"/>
      <c r="BB103" s="24"/>
      <c r="BC103" s="22"/>
      <c r="BD103" s="23"/>
      <c r="BF103" s="48"/>
      <c r="BG103" s="54"/>
      <c r="BL103" s="53"/>
      <c r="BM103" s="53"/>
      <c r="BO103" s="53"/>
      <c r="BP103" s="53"/>
      <c r="BQ103" s="53"/>
      <c r="BR103" s="66"/>
      <c r="BS103" s="66"/>
      <c r="BW103" s="191"/>
      <c r="BX103" s="191"/>
      <c r="BY103" s="53"/>
      <c r="BZ103" s="53"/>
      <c r="CA103" s="53"/>
      <c r="CB103" s="53"/>
      <c r="CC103" s="53"/>
      <c r="CG103" s="53"/>
      <c r="CZ103" s="23"/>
      <c r="DD103" s="361"/>
      <c r="DM103" s="373"/>
    </row>
    <row r="104" spans="8:117" s="3" customFormat="1">
      <c r="H104" s="22"/>
      <c r="I104" s="24"/>
      <c r="J104" s="24"/>
      <c r="K104" s="24"/>
      <c r="L104" s="46"/>
      <c r="M104" s="41"/>
      <c r="N104" s="47"/>
      <c r="O104" s="24"/>
      <c r="P104" s="47"/>
      <c r="R104" s="60"/>
      <c r="S104" s="23"/>
      <c r="T104" s="60"/>
      <c r="U104" s="58"/>
      <c r="V104" s="48"/>
      <c r="W104" s="48"/>
      <c r="X104" s="23"/>
      <c r="Y104" s="23"/>
      <c r="Z104" s="23"/>
      <c r="AA104" s="60"/>
      <c r="AB104" s="55"/>
      <c r="AC104" s="23"/>
      <c r="AJ104" s="48"/>
      <c r="AK104" s="48"/>
      <c r="AL104" s="48"/>
      <c r="AM104" s="60"/>
      <c r="AN104" s="23"/>
      <c r="AO104" s="23"/>
      <c r="AP104" s="23"/>
      <c r="AQ104" s="54"/>
      <c r="AR104" s="23"/>
      <c r="AS104" s="23"/>
      <c r="AT104" s="60"/>
      <c r="AV104" s="23"/>
      <c r="AX104" s="49"/>
      <c r="AY104" s="50"/>
      <c r="AZ104" s="50"/>
      <c r="BA104" s="24"/>
      <c r="BB104" s="24"/>
      <c r="BC104" s="22"/>
      <c r="BD104" s="23"/>
      <c r="BF104" s="48"/>
      <c r="BG104" s="54"/>
      <c r="BL104" s="53"/>
      <c r="BM104" s="53"/>
      <c r="BO104" s="53"/>
      <c r="BP104" s="53"/>
      <c r="BQ104" s="53"/>
      <c r="BR104" s="66"/>
      <c r="BS104" s="66"/>
      <c r="BW104" s="191"/>
      <c r="BX104" s="191"/>
      <c r="BY104" s="53"/>
      <c r="BZ104" s="53"/>
      <c r="CA104" s="53"/>
      <c r="CB104" s="53"/>
      <c r="CC104" s="53"/>
      <c r="CG104" s="53"/>
      <c r="CZ104" s="23"/>
      <c r="DD104" s="361"/>
      <c r="DM104" s="373"/>
    </row>
    <row r="105" spans="8:117" s="3" customFormat="1">
      <c r="H105" s="22"/>
      <c r="I105" s="24"/>
      <c r="J105" s="24"/>
      <c r="K105" s="24"/>
      <c r="L105" s="46"/>
      <c r="M105" s="41"/>
      <c r="N105" s="47"/>
      <c r="O105" s="24"/>
      <c r="P105" s="47"/>
      <c r="R105" s="60"/>
      <c r="S105" s="23"/>
      <c r="T105" s="60"/>
      <c r="U105" s="58"/>
      <c r="V105" s="48"/>
      <c r="W105" s="48"/>
      <c r="X105" s="23"/>
      <c r="Y105" s="23"/>
      <c r="Z105" s="23"/>
      <c r="AA105" s="60"/>
      <c r="AB105" s="55"/>
      <c r="AC105" s="23"/>
      <c r="AJ105" s="48"/>
      <c r="AK105" s="48"/>
      <c r="AL105" s="48"/>
      <c r="AM105" s="60"/>
      <c r="AN105" s="23"/>
      <c r="AO105" s="23"/>
      <c r="AP105" s="23"/>
      <c r="AQ105" s="54"/>
      <c r="AR105" s="23"/>
      <c r="AS105" s="23"/>
      <c r="AT105" s="60"/>
      <c r="AV105" s="23"/>
      <c r="AX105" s="49"/>
      <c r="AY105" s="50"/>
      <c r="AZ105" s="50"/>
      <c r="BA105" s="24"/>
      <c r="BB105" s="24"/>
      <c r="BC105" s="22"/>
      <c r="BD105" s="23"/>
      <c r="BF105" s="48"/>
      <c r="BG105" s="54"/>
      <c r="BL105" s="53"/>
      <c r="BM105" s="53"/>
      <c r="BO105" s="53"/>
      <c r="BP105" s="53"/>
      <c r="BQ105" s="53"/>
      <c r="BR105" s="66"/>
      <c r="BS105" s="66"/>
      <c r="BW105" s="191"/>
      <c r="BX105" s="191"/>
      <c r="BY105" s="53"/>
      <c r="BZ105" s="53"/>
      <c r="CA105" s="53"/>
      <c r="CB105" s="53"/>
      <c r="CC105" s="53"/>
      <c r="CG105" s="53"/>
      <c r="CZ105" s="23"/>
      <c r="DD105" s="361"/>
      <c r="DM105" s="373"/>
    </row>
    <row r="106" spans="8:117" s="3" customFormat="1">
      <c r="H106" s="22"/>
      <c r="I106" s="24"/>
      <c r="J106" s="24"/>
      <c r="K106" s="24"/>
      <c r="L106" s="46"/>
      <c r="M106" s="41"/>
      <c r="N106" s="47"/>
      <c r="O106" s="24"/>
      <c r="P106" s="47"/>
      <c r="R106" s="60"/>
      <c r="S106" s="23"/>
      <c r="T106" s="60"/>
      <c r="U106" s="58"/>
      <c r="V106" s="48"/>
      <c r="W106" s="48"/>
      <c r="X106" s="23"/>
      <c r="Y106" s="23"/>
      <c r="Z106" s="23"/>
      <c r="AA106" s="60"/>
      <c r="AB106" s="55"/>
      <c r="AC106" s="23"/>
      <c r="AJ106" s="48"/>
      <c r="AK106" s="48"/>
      <c r="AL106" s="48"/>
      <c r="AM106" s="60"/>
      <c r="AN106" s="23"/>
      <c r="AO106" s="23"/>
      <c r="AP106" s="23"/>
      <c r="AQ106" s="54"/>
      <c r="AR106" s="23"/>
      <c r="AS106" s="23"/>
      <c r="AT106" s="60"/>
      <c r="AV106" s="23"/>
      <c r="AX106" s="49"/>
      <c r="AY106" s="50"/>
      <c r="AZ106" s="50"/>
      <c r="BA106" s="24"/>
      <c r="BB106" s="24"/>
      <c r="BC106" s="22"/>
      <c r="BD106" s="23"/>
      <c r="BF106" s="48"/>
      <c r="BG106" s="54"/>
      <c r="BL106" s="53"/>
      <c r="BM106" s="53"/>
      <c r="BO106" s="53"/>
      <c r="BP106" s="53"/>
      <c r="BQ106" s="53"/>
      <c r="BR106" s="66"/>
      <c r="BS106" s="66"/>
      <c r="BW106" s="191"/>
      <c r="BX106" s="191"/>
      <c r="BY106" s="53"/>
      <c r="BZ106" s="53"/>
      <c r="CA106" s="53"/>
      <c r="CB106" s="53"/>
      <c r="CC106" s="53"/>
      <c r="CG106" s="53"/>
      <c r="CZ106" s="23"/>
      <c r="DD106" s="361"/>
      <c r="DM106" s="373"/>
    </row>
    <row r="107" spans="8:117" s="3" customFormat="1">
      <c r="H107" s="22"/>
      <c r="I107" s="24"/>
      <c r="J107" s="24"/>
      <c r="K107" s="24"/>
      <c r="L107" s="46"/>
      <c r="M107" s="41"/>
      <c r="N107" s="47"/>
      <c r="O107" s="24"/>
      <c r="P107" s="47"/>
      <c r="R107" s="60"/>
      <c r="S107" s="23"/>
      <c r="T107" s="60"/>
      <c r="U107" s="58"/>
      <c r="V107" s="48"/>
      <c r="W107" s="48"/>
      <c r="X107" s="23"/>
      <c r="Y107" s="23"/>
      <c r="Z107" s="23"/>
      <c r="AA107" s="60"/>
      <c r="AB107" s="55"/>
      <c r="AC107" s="23"/>
      <c r="AJ107" s="48"/>
      <c r="AK107" s="48"/>
      <c r="AL107" s="48"/>
      <c r="AM107" s="60"/>
      <c r="AN107" s="23"/>
      <c r="AO107" s="23"/>
      <c r="AP107" s="23"/>
      <c r="AQ107" s="54"/>
      <c r="AR107" s="23"/>
      <c r="AS107" s="23"/>
      <c r="AT107" s="60"/>
      <c r="AV107" s="23"/>
      <c r="AX107" s="49"/>
      <c r="AY107" s="50"/>
      <c r="AZ107" s="50"/>
      <c r="BA107" s="24"/>
      <c r="BB107" s="24"/>
      <c r="BC107" s="22"/>
      <c r="BD107" s="23"/>
      <c r="BF107" s="48"/>
      <c r="BG107" s="54"/>
      <c r="BL107" s="53"/>
      <c r="BM107" s="53"/>
      <c r="BO107" s="53"/>
      <c r="BP107" s="53"/>
      <c r="BQ107" s="53"/>
      <c r="BR107" s="66"/>
      <c r="BS107" s="66"/>
      <c r="BW107" s="191"/>
      <c r="BX107" s="191"/>
      <c r="BY107" s="53"/>
      <c r="BZ107" s="53"/>
      <c r="CA107" s="53"/>
      <c r="CB107" s="53"/>
      <c r="CC107" s="53"/>
      <c r="CG107" s="53"/>
      <c r="CZ107" s="23"/>
      <c r="DD107" s="361"/>
      <c r="DM107" s="373"/>
    </row>
    <row r="108" spans="8:117" s="3" customFormat="1">
      <c r="H108" s="22"/>
      <c r="I108" s="24"/>
      <c r="J108" s="24"/>
      <c r="K108" s="24"/>
      <c r="L108" s="46"/>
      <c r="M108" s="41"/>
      <c r="N108" s="47"/>
      <c r="O108" s="24"/>
      <c r="P108" s="47"/>
      <c r="R108" s="60"/>
      <c r="S108" s="23"/>
      <c r="T108" s="60"/>
      <c r="U108" s="58"/>
      <c r="V108" s="48"/>
      <c r="W108" s="48"/>
      <c r="X108" s="23"/>
      <c r="Y108" s="23"/>
      <c r="Z108" s="23"/>
      <c r="AA108" s="60"/>
      <c r="AB108" s="55"/>
      <c r="AC108" s="23"/>
      <c r="AJ108" s="48"/>
      <c r="AK108" s="48"/>
      <c r="AL108" s="48"/>
      <c r="AM108" s="60"/>
      <c r="AN108" s="23"/>
      <c r="AO108" s="23"/>
      <c r="AP108" s="23"/>
      <c r="AQ108" s="54"/>
      <c r="AR108" s="23"/>
      <c r="AS108" s="23"/>
      <c r="AT108" s="60"/>
      <c r="AV108" s="23"/>
      <c r="AX108" s="49"/>
      <c r="AY108" s="50"/>
      <c r="AZ108" s="50"/>
      <c r="BA108" s="24"/>
      <c r="BB108" s="24"/>
      <c r="BC108" s="22"/>
      <c r="BD108" s="23"/>
      <c r="BF108" s="48"/>
      <c r="BG108" s="54"/>
      <c r="BL108" s="53"/>
      <c r="BM108" s="53"/>
      <c r="BO108" s="53"/>
      <c r="BP108" s="53"/>
      <c r="BQ108" s="53"/>
      <c r="BR108" s="66"/>
      <c r="BS108" s="66"/>
      <c r="BW108" s="191"/>
      <c r="BX108" s="191"/>
      <c r="BY108" s="53"/>
      <c r="BZ108" s="53"/>
      <c r="CA108" s="53"/>
      <c r="CB108" s="53"/>
      <c r="CC108" s="53"/>
      <c r="CG108" s="53"/>
      <c r="CZ108" s="23"/>
      <c r="DD108" s="361"/>
      <c r="DM108" s="373"/>
    </row>
    <row r="109" spans="8:117" s="3" customFormat="1">
      <c r="H109" s="22"/>
      <c r="I109" s="24"/>
      <c r="J109" s="24"/>
      <c r="K109" s="24"/>
      <c r="L109" s="46"/>
      <c r="M109" s="41"/>
      <c r="N109" s="47"/>
      <c r="O109" s="24"/>
      <c r="P109" s="47"/>
      <c r="R109" s="60"/>
      <c r="S109" s="23"/>
      <c r="T109" s="60"/>
      <c r="U109" s="58"/>
      <c r="V109" s="48"/>
      <c r="W109" s="48"/>
      <c r="X109" s="23"/>
      <c r="Y109" s="23"/>
      <c r="Z109" s="23"/>
      <c r="AA109" s="60"/>
      <c r="AB109" s="55"/>
      <c r="AC109" s="23"/>
      <c r="AJ109" s="48"/>
      <c r="AK109" s="48"/>
      <c r="AL109" s="48"/>
      <c r="AM109" s="60"/>
      <c r="AN109" s="23"/>
      <c r="AO109" s="23"/>
      <c r="AP109" s="23"/>
      <c r="AQ109" s="54"/>
      <c r="AR109" s="23"/>
      <c r="AS109" s="23"/>
      <c r="AT109" s="60"/>
      <c r="AV109" s="23"/>
      <c r="AX109" s="49"/>
      <c r="AY109" s="50"/>
      <c r="AZ109" s="50"/>
      <c r="BA109" s="24"/>
      <c r="BB109" s="24"/>
      <c r="BC109" s="22"/>
      <c r="BD109" s="23"/>
      <c r="BF109" s="48"/>
      <c r="BG109" s="54"/>
      <c r="BL109" s="53"/>
      <c r="BM109" s="53"/>
      <c r="BO109" s="53"/>
      <c r="BP109" s="53"/>
      <c r="BQ109" s="53"/>
      <c r="BR109" s="66"/>
      <c r="BS109" s="66"/>
      <c r="BW109" s="191"/>
      <c r="BX109" s="191"/>
      <c r="BY109" s="53"/>
      <c r="BZ109" s="53"/>
      <c r="CA109" s="53"/>
      <c r="CB109" s="53"/>
      <c r="CC109" s="53"/>
      <c r="CG109" s="53"/>
      <c r="CZ109" s="23"/>
      <c r="DD109" s="361"/>
      <c r="DM109" s="373"/>
    </row>
    <row r="110" spans="8:117" s="3" customFormat="1">
      <c r="H110" s="22"/>
      <c r="I110" s="24"/>
      <c r="J110" s="24"/>
      <c r="K110" s="24"/>
      <c r="L110" s="46"/>
      <c r="M110" s="41"/>
      <c r="N110" s="47"/>
      <c r="O110" s="24"/>
      <c r="P110" s="47"/>
      <c r="R110" s="60"/>
      <c r="S110" s="23"/>
      <c r="T110" s="60"/>
      <c r="U110" s="58"/>
      <c r="V110" s="48"/>
      <c r="W110" s="48"/>
      <c r="X110" s="23"/>
      <c r="Y110" s="23"/>
      <c r="Z110" s="23"/>
      <c r="AA110" s="60"/>
      <c r="AB110" s="55"/>
      <c r="AC110" s="23"/>
      <c r="AJ110" s="48"/>
      <c r="AK110" s="48"/>
      <c r="AL110" s="48"/>
      <c r="AM110" s="60"/>
      <c r="AN110" s="23"/>
      <c r="AO110" s="23"/>
      <c r="AP110" s="23"/>
      <c r="AQ110" s="54"/>
      <c r="AR110" s="23"/>
      <c r="AS110" s="23"/>
      <c r="AT110" s="60"/>
      <c r="AV110" s="23"/>
      <c r="AX110" s="49"/>
      <c r="AY110" s="50"/>
      <c r="AZ110" s="50"/>
      <c r="BA110" s="24"/>
      <c r="BB110" s="24"/>
      <c r="BC110" s="22"/>
      <c r="BD110" s="23"/>
      <c r="BF110" s="48"/>
      <c r="BG110" s="54"/>
      <c r="BL110" s="53"/>
      <c r="BM110" s="53"/>
      <c r="BO110" s="53"/>
      <c r="BP110" s="53"/>
      <c r="BQ110" s="53"/>
      <c r="BR110" s="66"/>
      <c r="BS110" s="66"/>
      <c r="BW110" s="191"/>
      <c r="BX110" s="191"/>
      <c r="BY110" s="53"/>
      <c r="BZ110" s="53"/>
      <c r="CA110" s="53"/>
      <c r="CB110" s="53"/>
      <c r="CC110" s="53"/>
      <c r="CG110" s="53"/>
      <c r="CZ110" s="23"/>
      <c r="DD110" s="361"/>
      <c r="DM110" s="373"/>
    </row>
    <row r="111" spans="8:117" s="3" customFormat="1">
      <c r="H111" s="22"/>
      <c r="I111" s="24"/>
      <c r="J111" s="24"/>
      <c r="K111" s="24"/>
      <c r="L111" s="46"/>
      <c r="M111" s="41"/>
      <c r="N111" s="47"/>
      <c r="O111" s="24"/>
      <c r="P111" s="47"/>
      <c r="R111" s="60"/>
      <c r="S111" s="23"/>
      <c r="T111" s="60"/>
      <c r="U111" s="58"/>
      <c r="V111" s="48"/>
      <c r="W111" s="48"/>
      <c r="X111" s="23"/>
      <c r="Y111" s="23"/>
      <c r="Z111" s="23"/>
      <c r="AA111" s="60"/>
      <c r="AB111" s="55"/>
      <c r="AC111" s="23"/>
      <c r="AJ111" s="48"/>
      <c r="AK111" s="48"/>
      <c r="AL111" s="48"/>
      <c r="AM111" s="60"/>
      <c r="AN111" s="23"/>
      <c r="AO111" s="23"/>
      <c r="AP111" s="23"/>
      <c r="AQ111" s="54"/>
      <c r="AR111" s="23"/>
      <c r="AS111" s="23"/>
      <c r="AT111" s="60"/>
      <c r="AV111" s="23"/>
      <c r="AX111" s="49"/>
      <c r="AY111" s="50"/>
      <c r="AZ111" s="50"/>
      <c r="BA111" s="24"/>
      <c r="BB111" s="24"/>
      <c r="BC111" s="22"/>
      <c r="BD111" s="23"/>
      <c r="BF111" s="48"/>
      <c r="BG111" s="54"/>
      <c r="BL111" s="53"/>
      <c r="BM111" s="53"/>
      <c r="BO111" s="53"/>
      <c r="BP111" s="53"/>
      <c r="BQ111" s="53"/>
      <c r="BR111" s="66"/>
      <c r="BS111" s="66"/>
      <c r="BW111" s="191"/>
      <c r="BX111" s="191"/>
      <c r="BY111" s="53"/>
      <c r="BZ111" s="53"/>
      <c r="CA111" s="53"/>
      <c r="CB111" s="53"/>
      <c r="CC111" s="53"/>
      <c r="CG111" s="53"/>
      <c r="CZ111" s="23"/>
      <c r="DD111" s="361"/>
      <c r="DM111" s="373"/>
    </row>
    <row r="112" spans="8:117" s="3" customFormat="1">
      <c r="H112" s="22"/>
      <c r="I112" s="24"/>
      <c r="J112" s="24"/>
      <c r="K112" s="24"/>
      <c r="L112" s="46"/>
      <c r="M112" s="41"/>
      <c r="N112" s="47"/>
      <c r="O112" s="24"/>
      <c r="P112" s="47"/>
      <c r="R112" s="60"/>
      <c r="S112" s="23"/>
      <c r="T112" s="60"/>
      <c r="U112" s="58"/>
      <c r="V112" s="48"/>
      <c r="W112" s="48"/>
      <c r="X112" s="23"/>
      <c r="Y112" s="23"/>
      <c r="Z112" s="23"/>
      <c r="AA112" s="60"/>
      <c r="AB112" s="55"/>
      <c r="AC112" s="23"/>
      <c r="AJ112" s="48"/>
      <c r="AK112" s="48"/>
      <c r="AL112" s="48"/>
      <c r="AM112" s="60"/>
      <c r="AN112" s="23"/>
      <c r="AO112" s="23"/>
      <c r="AP112" s="23"/>
      <c r="AQ112" s="54"/>
      <c r="AR112" s="23"/>
      <c r="AS112" s="23"/>
      <c r="AT112" s="60"/>
      <c r="AV112" s="23"/>
      <c r="AX112" s="49"/>
      <c r="AY112" s="50"/>
      <c r="AZ112" s="50"/>
      <c r="BA112" s="24"/>
      <c r="BB112" s="24"/>
      <c r="BC112" s="22"/>
      <c r="BD112" s="23"/>
      <c r="BF112" s="48"/>
      <c r="BG112" s="54"/>
      <c r="BL112" s="53"/>
      <c r="BM112" s="53"/>
      <c r="BO112" s="53"/>
      <c r="BP112" s="53"/>
      <c r="BQ112" s="53"/>
      <c r="BR112" s="66"/>
      <c r="BS112" s="66"/>
      <c r="BW112" s="191"/>
      <c r="BX112" s="191"/>
      <c r="BY112" s="53"/>
      <c r="BZ112" s="53"/>
      <c r="CA112" s="53"/>
      <c r="CB112" s="53"/>
      <c r="CC112" s="53"/>
      <c r="CG112" s="53"/>
      <c r="CZ112" s="23"/>
      <c r="DD112" s="361"/>
      <c r="DM112" s="373"/>
    </row>
    <row r="113" spans="8:117" s="3" customFormat="1">
      <c r="H113" s="22"/>
      <c r="I113" s="24"/>
      <c r="J113" s="24"/>
      <c r="K113" s="24"/>
      <c r="L113" s="46"/>
      <c r="M113" s="41"/>
      <c r="N113" s="47"/>
      <c r="O113" s="24"/>
      <c r="P113" s="47"/>
      <c r="R113" s="60"/>
      <c r="S113" s="23"/>
      <c r="T113" s="60"/>
      <c r="U113" s="58"/>
      <c r="V113" s="48"/>
      <c r="W113" s="48"/>
      <c r="X113" s="23"/>
      <c r="Y113" s="23"/>
      <c r="Z113" s="23"/>
      <c r="AA113" s="60"/>
      <c r="AB113" s="55"/>
      <c r="AC113" s="23"/>
      <c r="AJ113" s="48"/>
      <c r="AK113" s="48"/>
      <c r="AL113" s="48"/>
      <c r="AM113" s="60"/>
      <c r="AN113" s="23"/>
      <c r="AO113" s="23"/>
      <c r="AP113" s="23"/>
      <c r="AQ113" s="54"/>
      <c r="AR113" s="23"/>
      <c r="AS113" s="23"/>
      <c r="AT113" s="60"/>
      <c r="AV113" s="23"/>
      <c r="AX113" s="49"/>
      <c r="AY113" s="50"/>
      <c r="AZ113" s="50"/>
      <c r="BA113" s="24"/>
      <c r="BB113" s="24"/>
      <c r="BC113" s="22"/>
      <c r="BD113" s="23"/>
      <c r="BF113" s="48"/>
      <c r="BG113" s="54"/>
      <c r="BL113" s="53"/>
      <c r="BM113" s="53"/>
      <c r="BO113" s="53"/>
      <c r="BP113" s="53"/>
      <c r="BQ113" s="53"/>
      <c r="BR113" s="66"/>
      <c r="BS113" s="66"/>
      <c r="BW113" s="191"/>
      <c r="BX113" s="191"/>
      <c r="BY113" s="53"/>
      <c r="BZ113" s="53"/>
      <c r="CA113" s="53"/>
      <c r="CB113" s="53"/>
      <c r="CC113" s="53"/>
      <c r="CG113" s="53"/>
      <c r="CZ113" s="23"/>
      <c r="DD113" s="361"/>
      <c r="DM113" s="373"/>
    </row>
    <row r="114" spans="8:117" s="3" customFormat="1">
      <c r="H114" s="22"/>
      <c r="I114" s="24"/>
      <c r="J114" s="24"/>
      <c r="K114" s="24"/>
      <c r="L114" s="46"/>
      <c r="M114" s="41"/>
      <c r="N114" s="47"/>
      <c r="O114" s="24"/>
      <c r="P114" s="47"/>
      <c r="R114" s="60"/>
      <c r="S114" s="23"/>
      <c r="T114" s="60"/>
      <c r="U114" s="58"/>
      <c r="V114" s="48"/>
      <c r="W114" s="48"/>
      <c r="X114" s="23"/>
      <c r="Y114" s="23"/>
      <c r="Z114" s="23"/>
      <c r="AA114" s="60"/>
      <c r="AB114" s="55"/>
      <c r="AC114" s="23"/>
      <c r="AJ114" s="48"/>
      <c r="AK114" s="48"/>
      <c r="AL114" s="48"/>
      <c r="AM114" s="60"/>
      <c r="AN114" s="23"/>
      <c r="AO114" s="23"/>
      <c r="AP114" s="23"/>
      <c r="AQ114" s="54"/>
      <c r="AR114" s="23"/>
      <c r="AS114" s="23"/>
      <c r="AT114" s="60"/>
      <c r="AV114" s="23"/>
      <c r="AX114" s="49"/>
      <c r="AY114" s="50"/>
      <c r="AZ114" s="50"/>
      <c r="BA114" s="24"/>
      <c r="BB114" s="24"/>
      <c r="BC114" s="22"/>
      <c r="BD114" s="23"/>
      <c r="BF114" s="48"/>
      <c r="BG114" s="54"/>
      <c r="BL114" s="53"/>
      <c r="BM114" s="53"/>
      <c r="BO114" s="53"/>
      <c r="BP114" s="53"/>
      <c r="BQ114" s="53"/>
      <c r="BR114" s="66"/>
      <c r="BS114" s="66"/>
      <c r="BW114" s="191"/>
      <c r="BX114" s="191"/>
      <c r="BY114" s="53"/>
      <c r="BZ114" s="53"/>
      <c r="CA114" s="53"/>
      <c r="CB114" s="53"/>
      <c r="CC114" s="53"/>
      <c r="CG114" s="53"/>
      <c r="CZ114" s="23"/>
      <c r="DD114" s="361"/>
      <c r="DM114" s="373"/>
    </row>
    <row r="115" spans="8:117" s="3" customFormat="1">
      <c r="H115" s="22"/>
      <c r="I115" s="24"/>
      <c r="J115" s="24"/>
      <c r="K115" s="24"/>
      <c r="L115" s="46"/>
      <c r="M115" s="41"/>
      <c r="N115" s="47"/>
      <c r="O115" s="24"/>
      <c r="P115" s="47"/>
      <c r="R115" s="60"/>
      <c r="S115" s="23"/>
      <c r="T115" s="60"/>
      <c r="U115" s="58"/>
      <c r="V115" s="48"/>
      <c r="W115" s="48"/>
      <c r="X115" s="23"/>
      <c r="Y115" s="23"/>
      <c r="Z115" s="23"/>
      <c r="AA115" s="60"/>
      <c r="AB115" s="55"/>
      <c r="AC115" s="23"/>
      <c r="AJ115" s="48"/>
      <c r="AK115" s="48"/>
      <c r="AL115" s="48"/>
      <c r="AM115" s="60"/>
      <c r="AN115" s="23"/>
      <c r="AO115" s="23"/>
      <c r="AP115" s="23"/>
      <c r="AQ115" s="54"/>
      <c r="AR115" s="23"/>
      <c r="AS115" s="23"/>
      <c r="AT115" s="60"/>
      <c r="AV115" s="23"/>
      <c r="AX115" s="49"/>
      <c r="AY115" s="50"/>
      <c r="AZ115" s="50"/>
      <c r="BA115" s="24"/>
      <c r="BB115" s="24"/>
      <c r="BC115" s="22"/>
      <c r="BD115" s="23"/>
      <c r="BF115" s="48"/>
      <c r="BG115" s="54"/>
      <c r="BL115" s="53"/>
      <c r="BM115" s="53"/>
      <c r="BO115" s="53"/>
      <c r="BP115" s="53"/>
      <c r="BQ115" s="53"/>
      <c r="BR115" s="66"/>
      <c r="BS115" s="66"/>
      <c r="BW115" s="191"/>
      <c r="BX115" s="191"/>
      <c r="BY115" s="53"/>
      <c r="BZ115" s="53"/>
      <c r="CA115" s="53"/>
      <c r="CB115" s="53"/>
      <c r="CC115" s="53"/>
      <c r="CG115" s="53"/>
      <c r="CZ115" s="23"/>
      <c r="DD115" s="361"/>
      <c r="DM115" s="373"/>
    </row>
    <row r="116" spans="8:117" s="3" customFormat="1">
      <c r="H116" s="22"/>
      <c r="I116" s="24"/>
      <c r="J116" s="24"/>
      <c r="K116" s="24"/>
      <c r="L116" s="46"/>
      <c r="M116" s="41"/>
      <c r="N116" s="47"/>
      <c r="O116" s="24"/>
      <c r="P116" s="47"/>
      <c r="R116" s="60"/>
      <c r="S116" s="23"/>
      <c r="T116" s="60"/>
      <c r="U116" s="58"/>
      <c r="V116" s="48"/>
      <c r="W116" s="48"/>
      <c r="X116" s="23"/>
      <c r="Y116" s="23"/>
      <c r="Z116" s="23"/>
      <c r="AA116" s="60"/>
      <c r="AB116" s="55"/>
      <c r="AC116" s="23"/>
      <c r="AJ116" s="48"/>
      <c r="AK116" s="48"/>
      <c r="AL116" s="48"/>
      <c r="AM116" s="60"/>
      <c r="AN116" s="23"/>
      <c r="AO116" s="23"/>
      <c r="AP116" s="23"/>
      <c r="AQ116" s="54"/>
      <c r="AR116" s="23"/>
      <c r="AS116" s="23"/>
      <c r="AT116" s="60"/>
      <c r="AV116" s="23"/>
      <c r="AX116" s="49"/>
      <c r="AY116" s="50"/>
      <c r="AZ116" s="50"/>
      <c r="BA116" s="24"/>
      <c r="BB116" s="24"/>
      <c r="BC116" s="22"/>
      <c r="BD116" s="23"/>
      <c r="BF116" s="48"/>
      <c r="BG116" s="54"/>
      <c r="BL116" s="53"/>
      <c r="BM116" s="53"/>
      <c r="BO116" s="53"/>
      <c r="BP116" s="53"/>
      <c r="BQ116" s="53"/>
      <c r="BR116" s="66"/>
      <c r="BS116" s="66"/>
      <c r="BW116" s="191"/>
      <c r="BX116" s="191"/>
      <c r="BY116" s="53"/>
      <c r="BZ116" s="53"/>
      <c r="CA116" s="53"/>
      <c r="CB116" s="53"/>
      <c r="CC116" s="53"/>
      <c r="CG116" s="53"/>
      <c r="CZ116" s="23"/>
      <c r="DD116" s="361"/>
      <c r="DM116" s="373"/>
    </row>
    <row r="117" spans="8:117" s="3" customFormat="1">
      <c r="H117" s="22"/>
      <c r="I117" s="24"/>
      <c r="J117" s="24"/>
      <c r="K117" s="24"/>
      <c r="L117" s="46"/>
      <c r="M117" s="41"/>
      <c r="N117" s="47"/>
      <c r="O117" s="24"/>
      <c r="P117" s="47"/>
      <c r="R117" s="60"/>
      <c r="S117" s="23"/>
      <c r="T117" s="60"/>
      <c r="U117" s="58"/>
      <c r="V117" s="48"/>
      <c r="W117" s="48"/>
      <c r="X117" s="23"/>
      <c r="Y117" s="23"/>
      <c r="Z117" s="23"/>
      <c r="AA117" s="60"/>
      <c r="AB117" s="55"/>
      <c r="AC117" s="23"/>
      <c r="AJ117" s="48"/>
      <c r="AK117" s="48"/>
      <c r="AL117" s="48"/>
      <c r="AM117" s="60"/>
      <c r="AN117" s="23"/>
      <c r="AO117" s="23"/>
      <c r="AP117" s="23"/>
      <c r="AQ117" s="54"/>
      <c r="AR117" s="23"/>
      <c r="AS117" s="23"/>
      <c r="AT117" s="60"/>
      <c r="AV117" s="23"/>
      <c r="AX117" s="49"/>
      <c r="AY117" s="50"/>
      <c r="AZ117" s="50"/>
      <c r="BA117" s="24"/>
      <c r="BB117" s="24"/>
      <c r="BC117" s="22"/>
      <c r="BD117" s="23"/>
      <c r="BF117" s="48"/>
      <c r="BG117" s="54"/>
      <c r="BL117" s="53"/>
      <c r="BM117" s="53"/>
      <c r="BO117" s="53"/>
      <c r="BP117" s="53"/>
      <c r="BQ117" s="53"/>
      <c r="BR117" s="66"/>
      <c r="BS117" s="66"/>
      <c r="BW117" s="191"/>
      <c r="BX117" s="191"/>
      <c r="BY117" s="53"/>
      <c r="BZ117" s="53"/>
      <c r="CA117" s="53"/>
      <c r="CB117" s="53"/>
      <c r="CC117" s="53"/>
      <c r="CG117" s="53"/>
      <c r="CZ117" s="23"/>
      <c r="DD117" s="361"/>
      <c r="DM117" s="373"/>
    </row>
    <row r="118" spans="8:117" s="3" customFormat="1">
      <c r="H118" s="22"/>
      <c r="I118" s="24"/>
      <c r="J118" s="24"/>
      <c r="K118" s="24"/>
      <c r="L118" s="46"/>
      <c r="M118" s="41"/>
      <c r="N118" s="47"/>
      <c r="O118" s="24"/>
      <c r="P118" s="47"/>
      <c r="R118" s="60"/>
      <c r="S118" s="23"/>
      <c r="T118" s="60"/>
      <c r="U118" s="58"/>
      <c r="V118" s="48"/>
      <c r="W118" s="48"/>
      <c r="X118" s="23"/>
      <c r="Y118" s="23"/>
      <c r="Z118" s="23"/>
      <c r="AA118" s="60"/>
      <c r="AB118" s="55"/>
      <c r="AC118" s="23"/>
      <c r="AJ118" s="48"/>
      <c r="AK118" s="48"/>
      <c r="AL118" s="48"/>
      <c r="AM118" s="60"/>
      <c r="AN118" s="23"/>
      <c r="AO118" s="23"/>
      <c r="AP118" s="23"/>
      <c r="AQ118" s="54"/>
      <c r="AR118" s="23"/>
      <c r="AS118" s="23"/>
      <c r="AT118" s="60"/>
      <c r="AV118" s="23"/>
      <c r="AX118" s="49"/>
      <c r="AY118" s="50"/>
      <c r="AZ118" s="50"/>
      <c r="BA118" s="24"/>
      <c r="BB118" s="24"/>
      <c r="BC118" s="22"/>
      <c r="BD118" s="23"/>
      <c r="BF118" s="48"/>
      <c r="BG118" s="54"/>
      <c r="BL118" s="53"/>
      <c r="BM118" s="53"/>
      <c r="BO118" s="53"/>
      <c r="BP118" s="53"/>
      <c r="BQ118" s="53"/>
      <c r="BR118" s="66"/>
      <c r="BS118" s="66"/>
      <c r="BW118" s="191"/>
      <c r="BX118" s="191"/>
      <c r="BY118" s="53"/>
      <c r="BZ118" s="53"/>
      <c r="CA118" s="53"/>
      <c r="CB118" s="53"/>
      <c r="CC118" s="53"/>
      <c r="CG118" s="53"/>
      <c r="CZ118" s="23"/>
      <c r="DD118" s="361"/>
      <c r="DM118" s="373"/>
    </row>
    <row r="119" spans="8:117" s="3" customFormat="1">
      <c r="H119" s="22"/>
      <c r="I119" s="24"/>
      <c r="J119" s="24"/>
      <c r="K119" s="24"/>
      <c r="L119" s="46"/>
      <c r="M119" s="41"/>
      <c r="N119" s="47"/>
      <c r="O119" s="24"/>
      <c r="P119" s="47"/>
      <c r="R119" s="60"/>
      <c r="S119" s="23"/>
      <c r="T119" s="60"/>
      <c r="U119" s="58"/>
      <c r="V119" s="48"/>
      <c r="W119" s="48"/>
      <c r="X119" s="23"/>
      <c r="Y119" s="23"/>
      <c r="Z119" s="23"/>
      <c r="AA119" s="60"/>
      <c r="AB119" s="55"/>
      <c r="AC119" s="23"/>
      <c r="AJ119" s="48"/>
      <c r="AK119" s="48"/>
      <c r="AL119" s="48"/>
      <c r="AM119" s="60"/>
      <c r="AN119" s="23"/>
      <c r="AO119" s="23"/>
      <c r="AP119" s="23"/>
      <c r="AQ119" s="54"/>
      <c r="AR119" s="23"/>
      <c r="AS119" s="23"/>
      <c r="AT119" s="60"/>
      <c r="AV119" s="23"/>
      <c r="AX119" s="49"/>
      <c r="AY119" s="50"/>
      <c r="AZ119" s="50"/>
      <c r="BA119" s="24"/>
      <c r="BB119" s="24"/>
      <c r="BC119" s="22"/>
      <c r="BD119" s="23"/>
      <c r="BF119" s="48"/>
      <c r="BG119" s="54"/>
      <c r="BL119" s="53"/>
      <c r="BM119" s="53"/>
      <c r="BO119" s="53"/>
      <c r="BP119" s="53"/>
      <c r="BQ119" s="53"/>
      <c r="BR119" s="66"/>
      <c r="BS119" s="66"/>
      <c r="BW119" s="191"/>
      <c r="BX119" s="191"/>
      <c r="BY119" s="53"/>
      <c r="BZ119" s="53"/>
      <c r="CA119" s="53"/>
      <c r="CB119" s="53"/>
      <c r="CC119" s="53"/>
      <c r="CG119" s="53"/>
      <c r="CZ119" s="23"/>
      <c r="DD119" s="361"/>
      <c r="DM119" s="373"/>
    </row>
    <row r="120" spans="8:117" s="3" customFormat="1">
      <c r="H120" s="22"/>
      <c r="I120" s="24"/>
      <c r="J120" s="24"/>
      <c r="K120" s="24"/>
      <c r="L120" s="46"/>
      <c r="M120" s="41"/>
      <c r="N120" s="47"/>
      <c r="O120" s="24"/>
      <c r="P120" s="47"/>
      <c r="R120" s="60"/>
      <c r="S120" s="23"/>
      <c r="T120" s="60"/>
      <c r="U120" s="58"/>
      <c r="V120" s="48"/>
      <c r="W120" s="48"/>
      <c r="X120" s="23"/>
      <c r="Y120" s="23"/>
      <c r="Z120" s="23"/>
      <c r="AA120" s="60"/>
      <c r="AB120" s="55"/>
      <c r="AC120" s="23"/>
      <c r="AJ120" s="48"/>
      <c r="AK120" s="48"/>
      <c r="AL120" s="48"/>
      <c r="AM120" s="60"/>
      <c r="AN120" s="23"/>
      <c r="AO120" s="23"/>
      <c r="AP120" s="23"/>
      <c r="AQ120" s="54"/>
      <c r="AR120" s="23"/>
      <c r="AS120" s="23"/>
      <c r="AT120" s="60"/>
      <c r="AV120" s="23"/>
      <c r="AX120" s="49"/>
      <c r="AY120" s="50"/>
      <c r="AZ120" s="50"/>
      <c r="BA120" s="24"/>
      <c r="BB120" s="24"/>
      <c r="BC120" s="22"/>
      <c r="BD120" s="23"/>
      <c r="BF120" s="48"/>
      <c r="BG120" s="54"/>
      <c r="BL120" s="53"/>
      <c r="BM120" s="53"/>
      <c r="BO120" s="53"/>
      <c r="BP120" s="53"/>
      <c r="BQ120" s="53"/>
      <c r="BR120" s="66"/>
      <c r="BS120" s="66"/>
      <c r="BW120" s="191"/>
      <c r="BX120" s="191"/>
      <c r="BY120" s="53"/>
      <c r="BZ120" s="53"/>
      <c r="CA120" s="53"/>
      <c r="CB120" s="53"/>
      <c r="CC120" s="53"/>
      <c r="CG120" s="53"/>
      <c r="CZ120" s="23"/>
      <c r="DD120" s="361"/>
      <c r="DM120" s="373"/>
    </row>
    <row r="121" spans="8:117" s="3" customFormat="1">
      <c r="H121" s="22"/>
      <c r="I121" s="24"/>
      <c r="J121" s="24"/>
      <c r="K121" s="24"/>
      <c r="L121" s="46"/>
      <c r="M121" s="41"/>
      <c r="N121" s="47"/>
      <c r="O121" s="24"/>
      <c r="P121" s="47"/>
      <c r="R121" s="60"/>
      <c r="S121" s="23"/>
      <c r="T121" s="60"/>
      <c r="U121" s="58"/>
      <c r="V121" s="48"/>
      <c r="W121" s="48"/>
      <c r="X121" s="23"/>
      <c r="Y121" s="23"/>
      <c r="Z121" s="23"/>
      <c r="AA121" s="60"/>
      <c r="AB121" s="55"/>
      <c r="AC121" s="23"/>
      <c r="AJ121" s="48"/>
      <c r="AK121" s="48"/>
      <c r="AL121" s="48"/>
      <c r="AM121" s="60"/>
      <c r="AN121" s="23"/>
      <c r="AO121" s="23"/>
      <c r="AP121" s="23"/>
      <c r="AQ121" s="54"/>
      <c r="AR121" s="23"/>
      <c r="AS121" s="23"/>
      <c r="AT121" s="60"/>
      <c r="AV121" s="23"/>
      <c r="AX121" s="49"/>
      <c r="AY121" s="50"/>
      <c r="AZ121" s="50"/>
      <c r="BA121" s="24"/>
      <c r="BB121" s="24"/>
      <c r="BC121" s="22"/>
      <c r="BD121" s="23"/>
      <c r="BF121" s="48"/>
      <c r="BG121" s="54"/>
      <c r="BL121" s="53"/>
      <c r="BM121" s="53"/>
      <c r="BO121" s="53"/>
      <c r="BP121" s="53"/>
      <c r="BQ121" s="53"/>
      <c r="BR121" s="66"/>
      <c r="BS121" s="66"/>
      <c r="BW121" s="191"/>
      <c r="BX121" s="191"/>
      <c r="BY121" s="53"/>
      <c r="BZ121" s="53"/>
      <c r="CA121" s="53"/>
      <c r="CB121" s="53"/>
      <c r="CC121" s="53"/>
      <c r="CG121" s="53"/>
      <c r="CZ121" s="23"/>
      <c r="DD121" s="361"/>
      <c r="DM121" s="373"/>
    </row>
    <row r="122" spans="8:117" s="3" customFormat="1">
      <c r="H122" s="22"/>
      <c r="I122" s="24"/>
      <c r="J122" s="24"/>
      <c r="K122" s="24"/>
      <c r="L122" s="46"/>
      <c r="M122" s="41"/>
      <c r="N122" s="47"/>
      <c r="O122" s="24"/>
      <c r="P122" s="47"/>
      <c r="R122" s="60"/>
      <c r="S122" s="23"/>
      <c r="T122" s="60"/>
      <c r="U122" s="58"/>
      <c r="V122" s="48"/>
      <c r="W122" s="48"/>
      <c r="X122" s="23"/>
      <c r="Y122" s="23"/>
      <c r="Z122" s="23"/>
      <c r="AA122" s="60"/>
      <c r="AB122" s="55"/>
      <c r="AC122" s="23"/>
      <c r="AJ122" s="48"/>
      <c r="AK122" s="48"/>
      <c r="AL122" s="48"/>
      <c r="AM122" s="60"/>
      <c r="AN122" s="23"/>
      <c r="AO122" s="23"/>
      <c r="AP122" s="23"/>
      <c r="AQ122" s="54"/>
      <c r="AR122" s="23"/>
      <c r="AS122" s="23"/>
      <c r="AT122" s="60"/>
      <c r="AV122" s="23"/>
      <c r="AX122" s="49"/>
      <c r="AY122" s="50"/>
      <c r="AZ122" s="50"/>
      <c r="BA122" s="24"/>
      <c r="BB122" s="24"/>
      <c r="BC122" s="22"/>
      <c r="BD122" s="23"/>
      <c r="BF122" s="48"/>
      <c r="BG122" s="54"/>
      <c r="BL122" s="53"/>
      <c r="BM122" s="53"/>
      <c r="BO122" s="53"/>
      <c r="BP122" s="53"/>
      <c r="BQ122" s="53"/>
      <c r="BR122" s="66"/>
      <c r="BS122" s="66"/>
      <c r="BW122" s="191"/>
      <c r="BX122" s="191"/>
      <c r="BY122" s="53"/>
      <c r="BZ122" s="53"/>
      <c r="CA122" s="53"/>
      <c r="CB122" s="53"/>
      <c r="CC122" s="53"/>
      <c r="CG122" s="53"/>
      <c r="CZ122" s="23"/>
      <c r="DD122" s="361"/>
      <c r="DM122" s="373"/>
    </row>
    <row r="123" spans="8:117" s="3" customFormat="1">
      <c r="H123" s="22"/>
      <c r="I123" s="24"/>
      <c r="J123" s="24"/>
      <c r="K123" s="24"/>
      <c r="L123" s="46"/>
      <c r="M123" s="41"/>
      <c r="N123" s="47"/>
      <c r="O123" s="24"/>
      <c r="P123" s="47"/>
      <c r="R123" s="60"/>
      <c r="S123" s="23"/>
      <c r="T123" s="60"/>
      <c r="U123" s="58"/>
      <c r="V123" s="48"/>
      <c r="W123" s="48"/>
      <c r="X123" s="23"/>
      <c r="Y123" s="23"/>
      <c r="Z123" s="23"/>
      <c r="AA123" s="60"/>
      <c r="AB123" s="55"/>
      <c r="AC123" s="23"/>
      <c r="AJ123" s="48"/>
      <c r="AK123" s="48"/>
      <c r="AL123" s="48"/>
      <c r="AM123" s="60"/>
      <c r="AN123" s="23"/>
      <c r="AO123" s="23"/>
      <c r="AP123" s="23"/>
      <c r="AQ123" s="54"/>
      <c r="AR123" s="23"/>
      <c r="AS123" s="23"/>
      <c r="AT123" s="60"/>
      <c r="AV123" s="23"/>
      <c r="AX123" s="49"/>
      <c r="AY123" s="50"/>
      <c r="AZ123" s="50"/>
      <c r="BA123" s="24"/>
      <c r="BB123" s="24"/>
      <c r="BC123" s="22"/>
      <c r="BD123" s="23"/>
      <c r="BF123" s="48"/>
      <c r="BG123" s="54"/>
      <c r="BL123" s="53"/>
      <c r="BM123" s="53"/>
      <c r="BO123" s="53"/>
      <c r="BP123" s="53"/>
      <c r="BQ123" s="53"/>
      <c r="BR123" s="66"/>
      <c r="BS123" s="66"/>
      <c r="BW123" s="191"/>
      <c r="BX123" s="191"/>
      <c r="BY123" s="53"/>
      <c r="BZ123" s="53"/>
      <c r="CA123" s="53"/>
      <c r="CB123" s="53"/>
      <c r="CC123" s="53"/>
      <c r="CG123" s="53"/>
      <c r="CZ123" s="23"/>
      <c r="DD123" s="361"/>
      <c r="DM123" s="373"/>
    </row>
    <row r="124" spans="8:117" s="3" customFormat="1">
      <c r="H124" s="22"/>
      <c r="I124" s="24"/>
      <c r="J124" s="24"/>
      <c r="K124" s="24"/>
      <c r="L124" s="46"/>
      <c r="M124" s="41"/>
      <c r="N124" s="47"/>
      <c r="O124" s="24"/>
      <c r="P124" s="47"/>
      <c r="R124" s="60"/>
      <c r="S124" s="23"/>
      <c r="T124" s="60"/>
      <c r="U124" s="58"/>
      <c r="V124" s="48"/>
      <c r="W124" s="48"/>
      <c r="X124" s="23"/>
      <c r="Y124" s="23"/>
      <c r="Z124" s="23"/>
      <c r="AA124" s="60"/>
      <c r="AB124" s="55"/>
      <c r="AC124" s="23"/>
      <c r="AJ124" s="48"/>
      <c r="AK124" s="48"/>
      <c r="AL124" s="48"/>
      <c r="AM124" s="60"/>
      <c r="AN124" s="23"/>
      <c r="AO124" s="23"/>
      <c r="AP124" s="23"/>
      <c r="AQ124" s="54"/>
      <c r="AR124" s="23"/>
      <c r="AS124" s="23"/>
      <c r="AT124" s="60"/>
      <c r="AV124" s="23"/>
      <c r="AX124" s="49"/>
      <c r="AY124" s="50"/>
      <c r="AZ124" s="50"/>
      <c r="BA124" s="24"/>
      <c r="BB124" s="24"/>
      <c r="BC124" s="22"/>
      <c r="BD124" s="23"/>
      <c r="BF124" s="48"/>
      <c r="BG124" s="54"/>
      <c r="BL124" s="53"/>
      <c r="BM124" s="53"/>
      <c r="BO124" s="53"/>
      <c r="BP124" s="53"/>
      <c r="BQ124" s="53"/>
      <c r="BR124" s="66"/>
      <c r="BS124" s="66"/>
      <c r="BW124" s="191"/>
      <c r="BX124" s="191"/>
      <c r="BY124" s="53"/>
      <c r="BZ124" s="53"/>
      <c r="CA124" s="53"/>
      <c r="CB124" s="53"/>
      <c r="CC124" s="53"/>
      <c r="CG124" s="53"/>
      <c r="CZ124" s="23"/>
      <c r="DD124" s="361"/>
      <c r="DM124" s="373"/>
    </row>
    <row r="125" spans="8:117" s="3" customFormat="1">
      <c r="H125" s="22"/>
      <c r="I125" s="24"/>
      <c r="J125" s="24"/>
      <c r="K125" s="24"/>
      <c r="L125" s="46"/>
      <c r="M125" s="41"/>
      <c r="N125" s="47"/>
      <c r="O125" s="24"/>
      <c r="P125" s="47"/>
      <c r="R125" s="60"/>
      <c r="S125" s="23"/>
      <c r="T125" s="60"/>
      <c r="U125" s="58"/>
      <c r="V125" s="48"/>
      <c r="W125" s="48"/>
      <c r="X125" s="23"/>
      <c r="Y125" s="23"/>
      <c r="Z125" s="23"/>
      <c r="AA125" s="60"/>
      <c r="AB125" s="55"/>
      <c r="AC125" s="23"/>
      <c r="AJ125" s="48"/>
      <c r="AK125" s="48"/>
      <c r="AL125" s="48"/>
      <c r="AM125" s="60"/>
      <c r="AN125" s="23"/>
      <c r="AO125" s="23"/>
      <c r="AP125" s="23"/>
      <c r="AQ125" s="54"/>
      <c r="AR125" s="23"/>
      <c r="AS125" s="23"/>
      <c r="AT125" s="60"/>
      <c r="AV125" s="23"/>
      <c r="AX125" s="49"/>
      <c r="AY125" s="50"/>
      <c r="AZ125" s="50"/>
      <c r="BA125" s="24"/>
      <c r="BB125" s="24"/>
      <c r="BC125" s="22"/>
      <c r="BD125" s="23"/>
      <c r="BF125" s="48"/>
      <c r="BG125" s="54"/>
      <c r="BL125" s="53"/>
      <c r="BM125" s="53"/>
      <c r="BO125" s="53"/>
      <c r="BP125" s="53"/>
      <c r="BQ125" s="53"/>
      <c r="BR125" s="66"/>
      <c r="BS125" s="66"/>
      <c r="BW125" s="191"/>
      <c r="BX125" s="191"/>
      <c r="BY125" s="53"/>
      <c r="BZ125" s="53"/>
      <c r="CA125" s="53"/>
      <c r="CB125" s="53"/>
      <c r="CC125" s="53"/>
      <c r="CG125" s="53"/>
      <c r="CZ125" s="23"/>
      <c r="DD125" s="361"/>
      <c r="DM125" s="373"/>
    </row>
    <row r="126" spans="8:117" s="3" customFormat="1">
      <c r="H126" s="22"/>
      <c r="I126" s="24"/>
      <c r="J126" s="24"/>
      <c r="K126" s="24"/>
      <c r="L126" s="46"/>
      <c r="M126" s="41"/>
      <c r="N126" s="47"/>
      <c r="O126" s="24"/>
      <c r="P126" s="47"/>
      <c r="R126" s="60"/>
      <c r="S126" s="23"/>
      <c r="T126" s="60"/>
      <c r="U126" s="58"/>
      <c r="V126" s="48"/>
      <c r="W126" s="48"/>
      <c r="X126" s="23"/>
      <c r="Y126" s="23"/>
      <c r="Z126" s="23"/>
      <c r="AA126" s="60"/>
      <c r="AB126" s="55"/>
      <c r="AC126" s="23"/>
      <c r="AJ126" s="48"/>
      <c r="AK126" s="48"/>
      <c r="AL126" s="48"/>
      <c r="AM126" s="60"/>
      <c r="AN126" s="23"/>
      <c r="AO126" s="23"/>
      <c r="AP126" s="23"/>
      <c r="AQ126" s="54"/>
      <c r="AR126" s="23"/>
      <c r="AS126" s="23"/>
      <c r="AT126" s="60"/>
      <c r="AV126" s="23"/>
      <c r="AX126" s="49"/>
      <c r="AY126" s="50"/>
      <c r="AZ126" s="50"/>
      <c r="BA126" s="24"/>
      <c r="BB126" s="24"/>
      <c r="BC126" s="22"/>
      <c r="BD126" s="23"/>
      <c r="BF126" s="48"/>
      <c r="BG126" s="54"/>
      <c r="BL126" s="53"/>
      <c r="BM126" s="53"/>
      <c r="BO126" s="53"/>
      <c r="BP126" s="53"/>
      <c r="BQ126" s="53"/>
      <c r="BR126" s="66"/>
      <c r="BS126" s="66"/>
      <c r="BW126" s="191"/>
      <c r="BX126" s="191"/>
      <c r="BY126" s="53"/>
      <c r="BZ126" s="53"/>
      <c r="CA126" s="53"/>
      <c r="CB126" s="53"/>
      <c r="CC126" s="53"/>
      <c r="CG126" s="53"/>
      <c r="CZ126" s="23"/>
      <c r="DD126" s="361"/>
      <c r="DM126" s="373"/>
    </row>
    <row r="127" spans="8:117" s="3" customFormat="1">
      <c r="H127" s="22"/>
      <c r="I127" s="24"/>
      <c r="J127" s="24"/>
      <c r="K127" s="24"/>
      <c r="L127" s="46"/>
      <c r="M127" s="41"/>
      <c r="N127" s="47"/>
      <c r="O127" s="24"/>
      <c r="P127" s="47"/>
      <c r="R127" s="60"/>
      <c r="S127" s="23"/>
      <c r="T127" s="60"/>
      <c r="U127" s="58"/>
      <c r="V127" s="48"/>
      <c r="W127" s="48"/>
      <c r="X127" s="23"/>
      <c r="Y127" s="23"/>
      <c r="Z127" s="23"/>
      <c r="AA127" s="60"/>
      <c r="AB127" s="55"/>
      <c r="AC127" s="23"/>
      <c r="AJ127" s="48"/>
      <c r="AK127" s="48"/>
      <c r="AL127" s="48"/>
      <c r="AM127" s="60"/>
      <c r="AN127" s="23"/>
      <c r="AO127" s="23"/>
      <c r="AP127" s="23"/>
      <c r="AQ127" s="54"/>
      <c r="AR127" s="23"/>
      <c r="AS127" s="23"/>
      <c r="AT127" s="60"/>
      <c r="AV127" s="23"/>
      <c r="AX127" s="49"/>
      <c r="AY127" s="50"/>
      <c r="AZ127" s="50"/>
      <c r="BA127" s="24"/>
      <c r="BB127" s="24"/>
      <c r="BC127" s="22"/>
      <c r="BD127" s="23"/>
      <c r="BF127" s="48"/>
      <c r="BG127" s="54"/>
      <c r="BL127" s="53"/>
      <c r="BM127" s="53"/>
      <c r="BO127" s="53"/>
      <c r="BP127" s="53"/>
      <c r="BQ127" s="53"/>
      <c r="BR127" s="66"/>
      <c r="BS127" s="66"/>
      <c r="BW127" s="191"/>
      <c r="BX127" s="191"/>
      <c r="BY127" s="53"/>
      <c r="BZ127" s="53"/>
      <c r="CA127" s="53"/>
      <c r="CB127" s="53"/>
      <c r="CC127" s="53"/>
      <c r="CG127" s="53"/>
      <c r="CZ127" s="23"/>
      <c r="DD127" s="361"/>
      <c r="DM127" s="373"/>
    </row>
    <row r="128" spans="8:117" s="3" customFormat="1">
      <c r="H128" s="22"/>
      <c r="I128" s="24"/>
      <c r="J128" s="24"/>
      <c r="K128" s="24"/>
      <c r="L128" s="46"/>
      <c r="M128" s="41"/>
      <c r="N128" s="47"/>
      <c r="O128" s="24"/>
      <c r="P128" s="47"/>
      <c r="R128" s="60"/>
      <c r="S128" s="23"/>
      <c r="T128" s="60"/>
      <c r="U128" s="58"/>
      <c r="V128" s="48"/>
      <c r="W128" s="48"/>
      <c r="X128" s="23"/>
      <c r="Y128" s="23"/>
      <c r="Z128" s="23"/>
      <c r="AA128" s="60"/>
      <c r="AB128" s="55"/>
      <c r="AC128" s="23"/>
      <c r="AJ128" s="48"/>
      <c r="AK128" s="48"/>
      <c r="AL128" s="48"/>
      <c r="AM128" s="60"/>
      <c r="AN128" s="23"/>
      <c r="AO128" s="23"/>
      <c r="AP128" s="23"/>
      <c r="AQ128" s="54"/>
      <c r="AR128" s="23"/>
      <c r="AS128" s="23"/>
      <c r="AT128" s="60"/>
      <c r="AV128" s="23"/>
      <c r="AX128" s="49"/>
      <c r="AY128" s="50"/>
      <c r="AZ128" s="50"/>
      <c r="BA128" s="24"/>
      <c r="BB128" s="24"/>
      <c r="BC128" s="22"/>
      <c r="BD128" s="23"/>
      <c r="BF128" s="48"/>
      <c r="BG128" s="54"/>
      <c r="BL128" s="53"/>
      <c r="BM128" s="53"/>
      <c r="BO128" s="53"/>
      <c r="BP128" s="53"/>
      <c r="BQ128" s="53"/>
      <c r="BR128" s="66"/>
      <c r="BS128" s="66"/>
      <c r="BW128" s="191"/>
      <c r="BX128" s="191"/>
      <c r="BY128" s="53"/>
      <c r="BZ128" s="53"/>
      <c r="CA128" s="53"/>
      <c r="CB128" s="53"/>
      <c r="CC128" s="53"/>
      <c r="CG128" s="53"/>
      <c r="CZ128" s="23"/>
      <c r="DD128" s="361"/>
      <c r="DM128" s="373"/>
    </row>
    <row r="129" spans="8:117" s="3" customFormat="1">
      <c r="H129" s="22"/>
      <c r="I129" s="24"/>
      <c r="J129" s="24"/>
      <c r="K129" s="24"/>
      <c r="L129" s="46"/>
      <c r="M129" s="41"/>
      <c r="N129" s="47"/>
      <c r="O129" s="24"/>
      <c r="P129" s="47"/>
      <c r="R129" s="60"/>
      <c r="S129" s="23"/>
      <c r="T129" s="60"/>
      <c r="U129" s="58"/>
      <c r="V129" s="48"/>
      <c r="W129" s="48"/>
      <c r="X129" s="23"/>
      <c r="Y129" s="23"/>
      <c r="Z129" s="23"/>
      <c r="AA129" s="60"/>
      <c r="AB129" s="55"/>
      <c r="AC129" s="23"/>
      <c r="AJ129" s="48"/>
      <c r="AK129" s="48"/>
      <c r="AL129" s="48"/>
      <c r="AM129" s="60"/>
      <c r="AN129" s="23"/>
      <c r="AO129" s="23"/>
      <c r="AP129" s="23"/>
      <c r="AQ129" s="54"/>
      <c r="AR129" s="23"/>
      <c r="AS129" s="23"/>
      <c r="AT129" s="60"/>
      <c r="AV129" s="23"/>
      <c r="AX129" s="49"/>
      <c r="AY129" s="50"/>
      <c r="AZ129" s="50"/>
      <c r="BA129" s="24"/>
      <c r="BB129" s="24"/>
      <c r="BC129" s="22"/>
      <c r="BD129" s="23"/>
      <c r="BF129" s="48"/>
      <c r="BG129" s="54"/>
      <c r="BL129" s="53"/>
      <c r="BM129" s="53"/>
      <c r="BO129" s="53"/>
      <c r="BP129" s="53"/>
      <c r="BQ129" s="53"/>
      <c r="BR129" s="66"/>
      <c r="BS129" s="66"/>
      <c r="BW129" s="191"/>
      <c r="BX129" s="191"/>
      <c r="BY129" s="53"/>
      <c r="BZ129" s="53"/>
      <c r="CA129" s="53"/>
      <c r="CB129" s="53"/>
      <c r="CC129" s="53"/>
      <c r="CG129" s="53"/>
      <c r="CZ129" s="23"/>
      <c r="DD129" s="361"/>
      <c r="DM129" s="373"/>
    </row>
    <row r="130" spans="8:117" s="3" customFormat="1">
      <c r="H130" s="22"/>
      <c r="I130" s="24"/>
      <c r="J130" s="24"/>
      <c r="K130" s="24"/>
      <c r="L130" s="46"/>
      <c r="M130" s="41"/>
      <c r="N130" s="47"/>
      <c r="O130" s="24"/>
      <c r="P130" s="47"/>
      <c r="R130" s="60"/>
      <c r="S130" s="23"/>
      <c r="T130" s="60"/>
      <c r="U130" s="58"/>
      <c r="V130" s="48"/>
      <c r="W130" s="48"/>
      <c r="X130" s="23"/>
      <c r="Y130" s="23"/>
      <c r="Z130" s="23"/>
      <c r="AA130" s="60"/>
      <c r="AB130" s="55"/>
      <c r="AC130" s="23"/>
      <c r="AJ130" s="48"/>
      <c r="AK130" s="48"/>
      <c r="AL130" s="48"/>
      <c r="AM130" s="60"/>
      <c r="AN130" s="23"/>
      <c r="AO130" s="23"/>
      <c r="AP130" s="23"/>
      <c r="AQ130" s="54"/>
      <c r="AR130" s="23"/>
      <c r="AS130" s="23"/>
      <c r="AT130" s="60"/>
      <c r="AV130" s="23"/>
      <c r="AX130" s="49"/>
      <c r="AY130" s="50"/>
      <c r="AZ130" s="50"/>
      <c r="BA130" s="24"/>
      <c r="BB130" s="24"/>
      <c r="BC130" s="22"/>
      <c r="BD130" s="23"/>
      <c r="BF130" s="48"/>
      <c r="BG130" s="54"/>
      <c r="BL130" s="53"/>
      <c r="BM130" s="53"/>
      <c r="BO130" s="53"/>
      <c r="BP130" s="53"/>
      <c r="BQ130" s="53"/>
      <c r="BR130" s="66"/>
      <c r="BS130" s="66"/>
      <c r="BW130" s="191"/>
      <c r="BX130" s="191"/>
      <c r="BY130" s="53"/>
      <c r="BZ130" s="53"/>
      <c r="CA130" s="53"/>
      <c r="CB130" s="53"/>
      <c r="CC130" s="53"/>
      <c r="CG130" s="53"/>
      <c r="CZ130" s="23"/>
      <c r="DD130" s="361"/>
      <c r="DM130" s="373"/>
    </row>
    <row r="131" spans="8:117" s="3" customFormat="1">
      <c r="H131" s="22"/>
      <c r="I131" s="24"/>
      <c r="J131" s="24"/>
      <c r="K131" s="24"/>
      <c r="L131" s="46"/>
      <c r="M131" s="41"/>
      <c r="N131" s="47"/>
      <c r="O131" s="24"/>
      <c r="P131" s="47"/>
      <c r="R131" s="60"/>
      <c r="S131" s="23"/>
      <c r="T131" s="60"/>
      <c r="U131" s="58"/>
      <c r="V131" s="48"/>
      <c r="W131" s="48"/>
      <c r="X131" s="23"/>
      <c r="Y131" s="23"/>
      <c r="Z131" s="23"/>
      <c r="AA131" s="60"/>
      <c r="AB131" s="55"/>
      <c r="AC131" s="23"/>
      <c r="AJ131" s="48"/>
      <c r="AK131" s="48"/>
      <c r="AL131" s="48"/>
      <c r="AM131" s="60"/>
      <c r="AN131" s="23"/>
      <c r="AO131" s="23"/>
      <c r="AP131" s="23"/>
      <c r="AQ131" s="54"/>
      <c r="AR131" s="23"/>
      <c r="AS131" s="23"/>
      <c r="AT131" s="60"/>
      <c r="AV131" s="23"/>
      <c r="AX131" s="49"/>
      <c r="AY131" s="50"/>
      <c r="AZ131" s="50"/>
      <c r="BA131" s="24"/>
      <c r="BB131" s="24"/>
      <c r="BC131" s="22"/>
      <c r="BD131" s="23"/>
      <c r="BF131" s="48"/>
      <c r="BG131" s="54"/>
      <c r="BL131" s="53"/>
      <c r="BM131" s="53"/>
      <c r="BO131" s="53"/>
      <c r="BP131" s="53"/>
      <c r="BQ131" s="53"/>
      <c r="BR131" s="66"/>
      <c r="BS131" s="66"/>
      <c r="BW131" s="191"/>
      <c r="BX131" s="191"/>
      <c r="BY131" s="53"/>
      <c r="BZ131" s="53"/>
      <c r="CA131" s="53"/>
      <c r="CB131" s="53"/>
      <c r="CC131" s="53"/>
      <c r="CG131" s="53"/>
      <c r="CZ131" s="23"/>
      <c r="DD131" s="361"/>
      <c r="DM131" s="373"/>
    </row>
    <row r="132" spans="8:117" s="3" customFormat="1">
      <c r="H132" s="22"/>
      <c r="I132" s="24"/>
      <c r="J132" s="24"/>
      <c r="K132" s="24"/>
      <c r="L132" s="46"/>
      <c r="M132" s="41"/>
      <c r="N132" s="47"/>
      <c r="O132" s="24"/>
      <c r="P132" s="47"/>
      <c r="R132" s="60"/>
      <c r="S132" s="23"/>
      <c r="T132" s="60"/>
      <c r="U132" s="58"/>
      <c r="V132" s="48"/>
      <c r="W132" s="48"/>
      <c r="X132" s="23"/>
      <c r="Y132" s="23"/>
      <c r="Z132" s="23"/>
      <c r="AA132" s="60"/>
      <c r="AB132" s="55"/>
      <c r="AC132" s="23"/>
      <c r="AJ132" s="48"/>
      <c r="AK132" s="48"/>
      <c r="AL132" s="48"/>
      <c r="AM132" s="60"/>
      <c r="AN132" s="23"/>
      <c r="AO132" s="23"/>
      <c r="AP132" s="23"/>
      <c r="AQ132" s="54"/>
      <c r="AR132" s="23"/>
      <c r="AS132" s="23"/>
      <c r="AT132" s="60"/>
      <c r="AV132" s="23"/>
      <c r="AX132" s="49"/>
      <c r="AY132" s="50"/>
      <c r="AZ132" s="50"/>
      <c r="BA132" s="24"/>
      <c r="BB132" s="24"/>
      <c r="BC132" s="22"/>
      <c r="BD132" s="23"/>
      <c r="BF132" s="48"/>
      <c r="BG132" s="54"/>
      <c r="BL132" s="53"/>
      <c r="BM132" s="53"/>
      <c r="BO132" s="53"/>
      <c r="BP132" s="53"/>
      <c r="BQ132" s="53"/>
      <c r="BR132" s="66"/>
      <c r="BS132" s="66"/>
      <c r="BW132" s="191"/>
      <c r="BX132" s="191"/>
      <c r="BY132" s="53"/>
      <c r="BZ132" s="53"/>
      <c r="CA132" s="53"/>
      <c r="CB132" s="53"/>
      <c r="CC132" s="53"/>
      <c r="CG132" s="53"/>
      <c r="CZ132" s="23"/>
      <c r="DD132" s="361"/>
      <c r="DM132" s="373"/>
    </row>
    <row r="133" spans="8:117" s="3" customFormat="1">
      <c r="H133" s="22"/>
      <c r="I133" s="24"/>
      <c r="J133" s="24"/>
      <c r="K133" s="24"/>
      <c r="L133" s="46"/>
      <c r="M133" s="41"/>
      <c r="N133" s="47"/>
      <c r="O133" s="24"/>
      <c r="P133" s="47"/>
      <c r="R133" s="60"/>
      <c r="S133" s="23"/>
      <c r="T133" s="60"/>
      <c r="U133" s="58"/>
      <c r="V133" s="48"/>
      <c r="W133" s="48"/>
      <c r="X133" s="23"/>
      <c r="Y133" s="23"/>
      <c r="Z133" s="23"/>
      <c r="AA133" s="60"/>
      <c r="AB133" s="55"/>
      <c r="AC133" s="23"/>
      <c r="AJ133" s="48"/>
      <c r="AK133" s="48"/>
      <c r="AL133" s="48"/>
      <c r="AM133" s="60"/>
      <c r="AN133" s="23"/>
      <c r="AO133" s="23"/>
      <c r="AP133" s="23"/>
      <c r="AQ133" s="54"/>
      <c r="AR133" s="23"/>
      <c r="AS133" s="23"/>
      <c r="AT133" s="60"/>
      <c r="AV133" s="23"/>
      <c r="AX133" s="49"/>
      <c r="AY133" s="50"/>
      <c r="AZ133" s="50"/>
      <c r="BA133" s="24"/>
      <c r="BB133" s="24"/>
      <c r="BC133" s="22"/>
      <c r="BD133" s="23"/>
      <c r="BF133" s="48"/>
      <c r="BG133" s="54"/>
      <c r="BL133" s="53"/>
      <c r="BM133" s="53"/>
      <c r="BO133" s="53"/>
      <c r="BP133" s="53"/>
      <c r="BQ133" s="53"/>
      <c r="BR133" s="66"/>
      <c r="BS133" s="66"/>
      <c r="BW133" s="191"/>
      <c r="BX133" s="191"/>
      <c r="BY133" s="53"/>
      <c r="BZ133" s="53"/>
      <c r="CA133" s="53"/>
      <c r="CB133" s="53"/>
      <c r="CC133" s="53"/>
      <c r="CG133" s="53"/>
      <c r="CZ133" s="23"/>
      <c r="DD133" s="361"/>
      <c r="DM133" s="373"/>
    </row>
    <row r="134" spans="8:117" s="3" customFormat="1">
      <c r="H134" s="22"/>
      <c r="I134" s="24"/>
      <c r="J134" s="24"/>
      <c r="K134" s="24"/>
      <c r="L134" s="46"/>
      <c r="M134" s="41"/>
      <c r="N134" s="47"/>
      <c r="O134" s="24"/>
      <c r="P134" s="47"/>
      <c r="R134" s="60"/>
      <c r="S134" s="23"/>
      <c r="T134" s="60"/>
      <c r="U134" s="58"/>
      <c r="V134" s="48"/>
      <c r="W134" s="48"/>
      <c r="X134" s="23"/>
      <c r="Y134" s="23"/>
      <c r="Z134" s="23"/>
      <c r="AA134" s="60"/>
      <c r="AB134" s="55"/>
      <c r="AC134" s="23"/>
      <c r="AJ134" s="48"/>
      <c r="AK134" s="48"/>
      <c r="AL134" s="48"/>
      <c r="AM134" s="60"/>
      <c r="AN134" s="23"/>
      <c r="AO134" s="23"/>
      <c r="AP134" s="23"/>
      <c r="AQ134" s="54"/>
      <c r="AR134" s="23"/>
      <c r="AS134" s="23"/>
      <c r="AT134" s="60"/>
      <c r="AV134" s="23"/>
      <c r="AX134" s="49"/>
      <c r="AY134" s="50"/>
      <c r="AZ134" s="50"/>
      <c r="BA134" s="24"/>
      <c r="BB134" s="24"/>
      <c r="BC134" s="22"/>
      <c r="BD134" s="23"/>
      <c r="BF134" s="48"/>
      <c r="BG134" s="54"/>
      <c r="BL134" s="53"/>
      <c r="BM134" s="53"/>
      <c r="BO134" s="53"/>
      <c r="BP134" s="53"/>
      <c r="BQ134" s="53"/>
      <c r="BR134" s="66"/>
      <c r="BS134" s="66"/>
      <c r="BW134" s="191"/>
      <c r="BX134" s="191"/>
      <c r="BY134" s="53"/>
      <c r="BZ134" s="53"/>
      <c r="CA134" s="53"/>
      <c r="CB134" s="53"/>
      <c r="CC134" s="53"/>
      <c r="CG134" s="53"/>
      <c r="CZ134" s="23"/>
      <c r="DD134" s="361"/>
      <c r="DM134" s="373"/>
    </row>
    <row r="135" spans="8:117" s="3" customFormat="1">
      <c r="H135" s="22"/>
      <c r="I135" s="24"/>
      <c r="J135" s="24"/>
      <c r="K135" s="24"/>
      <c r="L135" s="46"/>
      <c r="M135" s="41"/>
      <c r="N135" s="47"/>
      <c r="O135" s="24"/>
      <c r="P135" s="47"/>
      <c r="R135" s="60"/>
      <c r="S135" s="23"/>
      <c r="T135" s="60"/>
      <c r="U135" s="58"/>
      <c r="V135" s="48"/>
      <c r="W135" s="48"/>
      <c r="X135" s="23"/>
      <c r="Y135" s="23"/>
      <c r="Z135" s="23"/>
      <c r="AA135" s="60"/>
      <c r="AB135" s="55"/>
      <c r="AC135" s="23"/>
      <c r="AJ135" s="48"/>
      <c r="AK135" s="48"/>
      <c r="AL135" s="48"/>
      <c r="AM135" s="60"/>
      <c r="AN135" s="23"/>
      <c r="AO135" s="23"/>
      <c r="AP135" s="23"/>
      <c r="AQ135" s="54"/>
      <c r="AR135" s="23"/>
      <c r="AS135" s="23"/>
      <c r="AT135" s="60"/>
      <c r="AV135" s="23"/>
      <c r="AX135" s="49"/>
      <c r="AY135" s="50"/>
      <c r="AZ135" s="50"/>
      <c r="BA135" s="24"/>
      <c r="BB135" s="24"/>
      <c r="BC135" s="22"/>
      <c r="BD135" s="23"/>
      <c r="BF135" s="48"/>
      <c r="BG135" s="54"/>
      <c r="BL135" s="53"/>
      <c r="BM135" s="53"/>
      <c r="BO135" s="53"/>
      <c r="BP135" s="53"/>
      <c r="BQ135" s="53"/>
      <c r="BR135" s="66"/>
      <c r="BS135" s="66"/>
      <c r="BW135" s="191"/>
      <c r="BX135" s="191"/>
      <c r="BY135" s="53"/>
      <c r="BZ135" s="53"/>
      <c r="CA135" s="53"/>
      <c r="CB135" s="53"/>
      <c r="CC135" s="53"/>
      <c r="CG135" s="53"/>
      <c r="CZ135" s="23"/>
      <c r="DD135" s="361"/>
      <c r="DM135" s="373"/>
    </row>
    <row r="136" spans="8:117" s="3" customFormat="1">
      <c r="H136" s="22"/>
      <c r="I136" s="24"/>
      <c r="J136" s="24"/>
      <c r="K136" s="24"/>
      <c r="L136" s="46"/>
      <c r="M136" s="41"/>
      <c r="N136" s="47"/>
      <c r="O136" s="24"/>
      <c r="P136" s="47"/>
      <c r="R136" s="60"/>
      <c r="S136" s="23"/>
      <c r="T136" s="60"/>
      <c r="U136" s="58"/>
      <c r="V136" s="48"/>
      <c r="W136" s="48"/>
      <c r="X136" s="23"/>
      <c r="Y136" s="23"/>
      <c r="Z136" s="23"/>
      <c r="AA136" s="60"/>
      <c r="AB136" s="55"/>
      <c r="AC136" s="23"/>
      <c r="AJ136" s="48"/>
      <c r="AK136" s="48"/>
      <c r="AL136" s="48"/>
      <c r="AM136" s="60"/>
      <c r="AN136" s="23"/>
      <c r="AO136" s="23"/>
      <c r="AP136" s="23"/>
      <c r="AQ136" s="54"/>
      <c r="AR136" s="23"/>
      <c r="AS136" s="23"/>
      <c r="AT136" s="60"/>
      <c r="AV136" s="23"/>
      <c r="AX136" s="49"/>
      <c r="AY136" s="50"/>
      <c r="AZ136" s="50"/>
      <c r="BA136" s="24"/>
      <c r="BB136" s="24"/>
      <c r="BC136" s="22"/>
      <c r="BD136" s="23"/>
      <c r="BF136" s="48"/>
      <c r="BG136" s="54"/>
      <c r="BL136" s="53"/>
      <c r="BM136" s="53"/>
      <c r="BO136" s="53"/>
      <c r="BP136" s="53"/>
      <c r="BQ136" s="53"/>
      <c r="BR136" s="66"/>
      <c r="BS136" s="66"/>
      <c r="BW136" s="191"/>
      <c r="BX136" s="191"/>
      <c r="BY136" s="53"/>
      <c r="BZ136" s="53"/>
      <c r="CA136" s="53"/>
      <c r="CB136" s="53"/>
      <c r="CC136" s="53"/>
      <c r="CG136" s="53"/>
      <c r="CZ136" s="23"/>
      <c r="DD136" s="361"/>
      <c r="DM136" s="373"/>
    </row>
    <row r="137" spans="8:117" s="3" customFormat="1">
      <c r="H137" s="22"/>
      <c r="I137" s="24"/>
      <c r="J137" s="24"/>
      <c r="K137" s="24"/>
      <c r="L137" s="46"/>
      <c r="M137" s="41"/>
      <c r="N137" s="47"/>
      <c r="O137" s="24"/>
      <c r="P137" s="47"/>
      <c r="R137" s="60"/>
      <c r="S137" s="23"/>
      <c r="T137" s="60"/>
      <c r="U137" s="58"/>
      <c r="V137" s="48"/>
      <c r="W137" s="48"/>
      <c r="X137" s="23"/>
      <c r="Y137" s="23"/>
      <c r="Z137" s="23"/>
      <c r="AA137" s="60"/>
      <c r="AB137" s="55"/>
      <c r="AC137" s="23"/>
      <c r="AJ137" s="48"/>
      <c r="AK137" s="48"/>
      <c r="AL137" s="48"/>
      <c r="AM137" s="60"/>
      <c r="AN137" s="23"/>
      <c r="AO137" s="23"/>
      <c r="AP137" s="23"/>
      <c r="AQ137" s="54"/>
      <c r="AR137" s="23"/>
      <c r="AS137" s="23"/>
      <c r="AT137" s="60"/>
      <c r="AV137" s="23"/>
      <c r="AX137" s="49"/>
      <c r="AY137" s="50"/>
      <c r="AZ137" s="50"/>
      <c r="BA137" s="24"/>
      <c r="BB137" s="24"/>
      <c r="BC137" s="22"/>
      <c r="BD137" s="23"/>
      <c r="BF137" s="48"/>
      <c r="BG137" s="54"/>
      <c r="BL137" s="53"/>
      <c r="BM137" s="53"/>
      <c r="BO137" s="53"/>
      <c r="BP137" s="53"/>
      <c r="BQ137" s="53"/>
      <c r="BR137" s="66"/>
      <c r="BS137" s="66"/>
      <c r="BW137" s="191"/>
      <c r="BX137" s="191"/>
      <c r="BY137" s="53"/>
      <c r="BZ137" s="53"/>
      <c r="CA137" s="53"/>
      <c r="CB137" s="53"/>
      <c r="CC137" s="53"/>
      <c r="CG137" s="53"/>
      <c r="CZ137" s="23"/>
      <c r="DD137" s="361"/>
      <c r="DM137" s="373"/>
    </row>
    <row r="138" spans="8:117" s="3" customFormat="1">
      <c r="H138" s="22"/>
      <c r="I138" s="24"/>
      <c r="J138" s="24"/>
      <c r="K138" s="24"/>
      <c r="L138" s="46"/>
      <c r="M138" s="41"/>
      <c r="N138" s="47"/>
      <c r="O138" s="24"/>
      <c r="P138" s="47"/>
      <c r="R138" s="60"/>
      <c r="S138" s="23"/>
      <c r="T138" s="60"/>
      <c r="U138" s="58"/>
      <c r="V138" s="48"/>
      <c r="W138" s="48"/>
      <c r="X138" s="23"/>
      <c r="Y138" s="23"/>
      <c r="Z138" s="23"/>
      <c r="AA138" s="60"/>
      <c r="AB138" s="55"/>
      <c r="AC138" s="23"/>
      <c r="AJ138" s="48"/>
      <c r="AK138" s="48"/>
      <c r="AL138" s="48"/>
      <c r="AM138" s="60"/>
      <c r="AN138" s="23"/>
      <c r="AO138" s="23"/>
      <c r="AP138" s="23"/>
      <c r="AQ138" s="54"/>
      <c r="AR138" s="23"/>
      <c r="AS138" s="23"/>
      <c r="AT138" s="60"/>
      <c r="AV138" s="23"/>
      <c r="AX138" s="49"/>
      <c r="AY138" s="50"/>
      <c r="AZ138" s="50"/>
      <c r="BA138" s="24"/>
      <c r="BB138" s="24"/>
      <c r="BC138" s="22"/>
      <c r="BD138" s="23"/>
      <c r="BF138" s="48"/>
      <c r="BG138" s="54"/>
      <c r="BL138" s="53"/>
      <c r="BM138" s="53"/>
      <c r="BO138" s="53"/>
      <c r="BP138" s="53"/>
      <c r="BQ138" s="53"/>
      <c r="BR138" s="66"/>
      <c r="BS138" s="66"/>
      <c r="BW138" s="191"/>
      <c r="BX138" s="191"/>
      <c r="BY138" s="53"/>
      <c r="BZ138" s="53"/>
      <c r="CA138" s="53"/>
      <c r="CB138" s="53"/>
      <c r="CC138" s="53"/>
      <c r="CG138" s="53"/>
      <c r="CZ138" s="23"/>
      <c r="DD138" s="361"/>
      <c r="DM138" s="373"/>
    </row>
    <row r="139" spans="8:117" s="3" customFormat="1">
      <c r="H139" s="22"/>
      <c r="I139" s="24"/>
      <c r="J139" s="24"/>
      <c r="K139" s="24"/>
      <c r="L139" s="46"/>
      <c r="M139" s="41"/>
      <c r="N139" s="47"/>
      <c r="O139" s="24"/>
      <c r="P139" s="47"/>
      <c r="R139" s="60"/>
      <c r="S139" s="23"/>
      <c r="T139" s="60"/>
      <c r="U139" s="58"/>
      <c r="V139" s="48"/>
      <c r="W139" s="48"/>
      <c r="X139" s="23"/>
      <c r="Y139" s="23"/>
      <c r="Z139" s="23"/>
      <c r="AA139" s="60"/>
      <c r="AB139" s="55"/>
      <c r="AC139" s="23"/>
      <c r="AJ139" s="48"/>
      <c r="AK139" s="48"/>
      <c r="AL139" s="48"/>
      <c r="AM139" s="60"/>
      <c r="AN139" s="23"/>
      <c r="AO139" s="23"/>
      <c r="AP139" s="23"/>
      <c r="AQ139" s="54"/>
      <c r="AR139" s="23"/>
      <c r="AS139" s="23"/>
      <c r="AT139" s="60"/>
      <c r="AV139" s="23"/>
      <c r="AX139" s="49"/>
      <c r="AY139" s="50"/>
      <c r="AZ139" s="50"/>
      <c r="BA139" s="24"/>
      <c r="BB139" s="24"/>
      <c r="BC139" s="22"/>
      <c r="BD139" s="23"/>
      <c r="BF139" s="48"/>
      <c r="BG139" s="54"/>
      <c r="BL139" s="53"/>
      <c r="BM139" s="53"/>
      <c r="BO139" s="53"/>
      <c r="BP139" s="53"/>
      <c r="BQ139" s="53"/>
      <c r="BR139" s="66"/>
      <c r="BS139" s="66"/>
      <c r="BW139" s="191"/>
      <c r="BX139" s="191"/>
      <c r="BY139" s="53"/>
      <c r="BZ139" s="53"/>
      <c r="CA139" s="53"/>
      <c r="CB139" s="53"/>
      <c r="CC139" s="53"/>
      <c r="CG139" s="53"/>
      <c r="CZ139" s="23"/>
      <c r="DD139" s="361"/>
      <c r="DM139" s="373"/>
    </row>
    <row r="140" spans="8:117" s="3" customFormat="1">
      <c r="H140" s="22"/>
      <c r="I140" s="24"/>
      <c r="J140" s="24"/>
      <c r="K140" s="24"/>
      <c r="L140" s="46"/>
      <c r="M140" s="41"/>
      <c r="N140" s="47"/>
      <c r="O140" s="24"/>
      <c r="P140" s="47"/>
      <c r="R140" s="60"/>
      <c r="S140" s="23"/>
      <c r="T140" s="60"/>
      <c r="U140" s="58"/>
      <c r="V140" s="48"/>
      <c r="W140" s="48"/>
      <c r="X140" s="23"/>
      <c r="Y140" s="23"/>
      <c r="Z140" s="23"/>
      <c r="AA140" s="60"/>
      <c r="AB140" s="55"/>
      <c r="AC140" s="23"/>
      <c r="AJ140" s="48"/>
      <c r="AK140" s="48"/>
      <c r="AL140" s="48"/>
      <c r="AM140" s="60"/>
      <c r="AN140" s="23"/>
      <c r="AO140" s="23"/>
      <c r="AP140" s="23"/>
      <c r="AQ140" s="54"/>
      <c r="AR140" s="23"/>
      <c r="AS140" s="23"/>
      <c r="AT140" s="60"/>
      <c r="AV140" s="23"/>
      <c r="AX140" s="49"/>
      <c r="AY140" s="50"/>
      <c r="AZ140" s="50"/>
      <c r="BA140" s="24"/>
      <c r="BB140" s="24"/>
      <c r="BC140" s="22"/>
      <c r="BD140" s="23"/>
      <c r="BF140" s="48"/>
      <c r="BG140" s="54"/>
      <c r="BL140" s="53"/>
      <c r="BM140" s="53"/>
      <c r="BO140" s="53"/>
      <c r="BP140" s="53"/>
      <c r="BQ140" s="53"/>
      <c r="BR140" s="66"/>
      <c r="BS140" s="66"/>
      <c r="BW140" s="191"/>
      <c r="BX140" s="191"/>
      <c r="BY140" s="53"/>
      <c r="BZ140" s="53"/>
      <c r="CA140" s="53"/>
      <c r="CB140" s="53"/>
      <c r="CC140" s="53"/>
      <c r="CG140" s="53"/>
      <c r="CZ140" s="23"/>
      <c r="DD140" s="361"/>
      <c r="DM140" s="373"/>
    </row>
    <row r="141" spans="8:117" s="3" customFormat="1">
      <c r="H141" s="22"/>
      <c r="I141" s="24"/>
      <c r="J141" s="24"/>
      <c r="K141" s="24"/>
      <c r="L141" s="46"/>
      <c r="M141" s="41"/>
      <c r="N141" s="47"/>
      <c r="O141" s="24"/>
      <c r="P141" s="47"/>
      <c r="R141" s="60"/>
      <c r="S141" s="23"/>
      <c r="T141" s="60"/>
      <c r="U141" s="58"/>
      <c r="V141" s="48"/>
      <c r="W141" s="48"/>
      <c r="X141" s="23"/>
      <c r="Y141" s="23"/>
      <c r="Z141" s="23"/>
      <c r="AA141" s="60"/>
      <c r="AB141" s="55"/>
      <c r="AC141" s="23"/>
      <c r="AJ141" s="48"/>
      <c r="AK141" s="48"/>
      <c r="AL141" s="48"/>
      <c r="AM141" s="60"/>
      <c r="AN141" s="23"/>
      <c r="AO141" s="23"/>
      <c r="AP141" s="23"/>
      <c r="AQ141" s="54"/>
      <c r="AR141" s="23"/>
      <c r="AS141" s="23"/>
      <c r="AT141" s="60"/>
      <c r="AV141" s="23"/>
      <c r="AX141" s="49"/>
      <c r="AY141" s="50"/>
      <c r="AZ141" s="50"/>
      <c r="BA141" s="24"/>
      <c r="BB141" s="24"/>
      <c r="BC141" s="22"/>
      <c r="BD141" s="23"/>
      <c r="BF141" s="48"/>
      <c r="BG141" s="54"/>
      <c r="BL141" s="53"/>
      <c r="BM141" s="53"/>
      <c r="BO141" s="53"/>
      <c r="BP141" s="53"/>
      <c r="BQ141" s="53"/>
      <c r="BR141" s="66"/>
      <c r="BS141" s="66"/>
      <c r="BW141" s="191"/>
      <c r="BX141" s="191"/>
      <c r="BY141" s="53"/>
      <c r="BZ141" s="53"/>
      <c r="CA141" s="53"/>
      <c r="CB141" s="53"/>
      <c r="CC141" s="53"/>
      <c r="CG141" s="53"/>
      <c r="CZ141" s="23"/>
      <c r="DD141" s="361"/>
      <c r="DM141" s="373"/>
    </row>
    <row r="142" spans="8:117" s="3" customFormat="1">
      <c r="H142" s="22"/>
      <c r="I142" s="24"/>
      <c r="J142" s="24"/>
      <c r="K142" s="24"/>
      <c r="L142" s="46"/>
      <c r="M142" s="41"/>
      <c r="N142" s="47"/>
      <c r="O142" s="24"/>
      <c r="P142" s="47"/>
      <c r="R142" s="60"/>
      <c r="S142" s="23"/>
      <c r="T142" s="60"/>
      <c r="U142" s="58"/>
      <c r="V142" s="48"/>
      <c r="W142" s="48"/>
      <c r="X142" s="23"/>
      <c r="Y142" s="23"/>
      <c r="Z142" s="23"/>
      <c r="AA142" s="60"/>
      <c r="AB142" s="55"/>
      <c r="AC142" s="23"/>
      <c r="AJ142" s="48"/>
      <c r="AK142" s="48"/>
      <c r="AL142" s="48"/>
      <c r="AM142" s="60"/>
      <c r="AN142" s="23"/>
      <c r="AO142" s="23"/>
      <c r="AP142" s="23"/>
      <c r="AQ142" s="54"/>
      <c r="AR142" s="23"/>
      <c r="AS142" s="23"/>
      <c r="AT142" s="60"/>
      <c r="AV142" s="23"/>
      <c r="AX142" s="49"/>
      <c r="AY142" s="50"/>
      <c r="AZ142" s="50"/>
      <c r="BA142" s="24"/>
      <c r="BB142" s="24"/>
      <c r="BC142" s="22"/>
      <c r="BD142" s="23"/>
      <c r="BF142" s="48"/>
      <c r="BG142" s="54"/>
      <c r="BL142" s="53"/>
      <c r="BM142" s="53"/>
      <c r="BO142" s="53"/>
      <c r="BP142" s="53"/>
      <c r="BQ142" s="53"/>
      <c r="BR142" s="66"/>
      <c r="BS142" s="66"/>
      <c r="BW142" s="191"/>
      <c r="BX142" s="191"/>
      <c r="BY142" s="53"/>
      <c r="BZ142" s="53"/>
      <c r="CA142" s="53"/>
      <c r="CB142" s="53"/>
      <c r="CC142" s="53"/>
      <c r="CG142" s="53"/>
      <c r="CZ142" s="23"/>
      <c r="DD142" s="361"/>
      <c r="DM142" s="373"/>
    </row>
    <row r="143" spans="8:117" s="3" customFormat="1">
      <c r="H143" s="22"/>
      <c r="I143" s="24"/>
      <c r="J143" s="24"/>
      <c r="K143" s="24"/>
      <c r="L143" s="46"/>
      <c r="M143" s="41"/>
      <c r="N143" s="47"/>
      <c r="O143" s="24"/>
      <c r="P143" s="47"/>
      <c r="R143" s="60"/>
      <c r="S143" s="23"/>
      <c r="T143" s="60"/>
      <c r="U143" s="58"/>
      <c r="V143" s="48"/>
      <c r="W143" s="48"/>
      <c r="X143" s="23"/>
      <c r="Y143" s="23"/>
      <c r="Z143" s="23"/>
      <c r="AA143" s="60"/>
      <c r="AB143" s="55"/>
      <c r="AC143" s="23"/>
      <c r="AJ143" s="48"/>
      <c r="AK143" s="48"/>
      <c r="AL143" s="48"/>
      <c r="AM143" s="60"/>
      <c r="AN143" s="23"/>
      <c r="AO143" s="23"/>
      <c r="AP143" s="23"/>
      <c r="AQ143" s="54"/>
      <c r="AR143" s="23"/>
      <c r="AS143" s="23"/>
      <c r="AT143" s="60"/>
      <c r="AV143" s="23"/>
      <c r="AX143" s="49"/>
      <c r="AY143" s="50"/>
      <c r="AZ143" s="50"/>
      <c r="BA143" s="24"/>
      <c r="BB143" s="24"/>
      <c r="BC143" s="22"/>
      <c r="BD143" s="23"/>
      <c r="BF143" s="48"/>
      <c r="BG143" s="54"/>
      <c r="BL143" s="53"/>
      <c r="BM143" s="53"/>
      <c r="BO143" s="53"/>
      <c r="BP143" s="53"/>
      <c r="BQ143" s="53"/>
      <c r="BR143" s="66"/>
      <c r="BS143" s="66"/>
      <c r="BW143" s="191"/>
      <c r="BX143" s="191"/>
      <c r="BY143" s="53"/>
      <c r="BZ143" s="53"/>
      <c r="CA143" s="53"/>
      <c r="CB143" s="53"/>
      <c r="CC143" s="53"/>
      <c r="CG143" s="53"/>
      <c r="CZ143" s="23"/>
      <c r="DD143" s="361"/>
      <c r="DM143" s="373"/>
    </row>
    <row r="144" spans="8:117" s="3" customFormat="1">
      <c r="H144" s="22"/>
      <c r="I144" s="24"/>
      <c r="J144" s="24"/>
      <c r="K144" s="24"/>
      <c r="L144" s="46"/>
      <c r="M144" s="41"/>
      <c r="N144" s="47"/>
      <c r="O144" s="24"/>
      <c r="P144" s="47"/>
      <c r="R144" s="60"/>
      <c r="S144" s="23"/>
      <c r="T144" s="60"/>
      <c r="U144" s="58"/>
      <c r="V144" s="48"/>
      <c r="W144" s="48"/>
      <c r="X144" s="23"/>
      <c r="Y144" s="23"/>
      <c r="Z144" s="23"/>
      <c r="AA144" s="60"/>
      <c r="AB144" s="55"/>
      <c r="AC144" s="23"/>
      <c r="AJ144" s="48"/>
      <c r="AK144" s="48"/>
      <c r="AL144" s="48"/>
      <c r="AM144" s="60"/>
      <c r="AN144" s="23"/>
      <c r="AO144" s="23"/>
      <c r="AP144" s="23"/>
      <c r="AQ144" s="54"/>
      <c r="AR144" s="23"/>
      <c r="AS144" s="23"/>
      <c r="AT144" s="60"/>
      <c r="AV144" s="23"/>
      <c r="AX144" s="49"/>
      <c r="AY144" s="50"/>
      <c r="AZ144" s="50"/>
      <c r="BA144" s="24"/>
      <c r="BB144" s="24"/>
      <c r="BC144" s="22"/>
      <c r="BD144" s="23"/>
      <c r="BF144" s="48"/>
      <c r="BG144" s="54"/>
      <c r="BL144" s="53"/>
      <c r="BM144" s="53"/>
      <c r="BO144" s="53"/>
      <c r="BP144" s="53"/>
      <c r="BQ144" s="53"/>
      <c r="BR144" s="66"/>
      <c r="BS144" s="66"/>
      <c r="BW144" s="191"/>
      <c r="BX144" s="191"/>
      <c r="BY144" s="53"/>
      <c r="BZ144" s="53"/>
      <c r="CA144" s="53"/>
      <c r="CB144" s="53"/>
      <c r="CC144" s="53"/>
      <c r="CG144" s="53"/>
      <c r="CZ144" s="23"/>
      <c r="DD144" s="361"/>
      <c r="DM144" s="373"/>
    </row>
    <row r="145" spans="8:117" s="3" customFormat="1">
      <c r="H145" s="22"/>
      <c r="I145" s="24"/>
      <c r="J145" s="24"/>
      <c r="K145" s="24"/>
      <c r="L145" s="46"/>
      <c r="M145" s="41"/>
      <c r="N145" s="47"/>
      <c r="O145" s="24"/>
      <c r="P145" s="47"/>
      <c r="R145" s="60"/>
      <c r="S145" s="23"/>
      <c r="T145" s="60"/>
      <c r="U145" s="58"/>
      <c r="V145" s="48"/>
      <c r="W145" s="48"/>
      <c r="X145" s="23"/>
      <c r="Y145" s="23"/>
      <c r="Z145" s="23"/>
      <c r="AA145" s="60"/>
      <c r="AB145" s="55"/>
      <c r="AC145" s="23"/>
      <c r="AJ145" s="48"/>
      <c r="AK145" s="48"/>
      <c r="AL145" s="48"/>
      <c r="AM145" s="60"/>
      <c r="AN145" s="23"/>
      <c r="AO145" s="23"/>
      <c r="AP145" s="23"/>
      <c r="AQ145" s="54"/>
      <c r="AR145" s="23"/>
      <c r="AS145" s="23"/>
      <c r="AT145" s="60"/>
      <c r="AV145" s="23"/>
      <c r="AX145" s="49"/>
      <c r="AY145" s="50"/>
      <c r="AZ145" s="50"/>
      <c r="BA145" s="24"/>
      <c r="BB145" s="24"/>
      <c r="BC145" s="22"/>
      <c r="BD145" s="23"/>
      <c r="BF145" s="48"/>
      <c r="BG145" s="54"/>
      <c r="BL145" s="53"/>
      <c r="BM145" s="53"/>
      <c r="BO145" s="53"/>
      <c r="BP145" s="53"/>
      <c r="BQ145" s="53"/>
      <c r="BR145" s="66"/>
      <c r="BS145" s="66"/>
      <c r="BW145" s="191"/>
      <c r="BX145" s="191"/>
      <c r="BY145" s="53"/>
      <c r="BZ145" s="53"/>
      <c r="CA145" s="53"/>
      <c r="CB145" s="53"/>
      <c r="CC145" s="53"/>
      <c r="CG145" s="53"/>
      <c r="CZ145" s="23"/>
      <c r="DD145" s="361"/>
      <c r="DM145" s="373"/>
    </row>
    <row r="146" spans="8:117" s="3" customFormat="1">
      <c r="H146" s="22"/>
      <c r="I146" s="24"/>
      <c r="J146" s="24"/>
      <c r="K146" s="24"/>
      <c r="L146" s="46"/>
      <c r="M146" s="41"/>
      <c r="N146" s="47"/>
      <c r="O146" s="24"/>
      <c r="P146" s="47"/>
      <c r="R146" s="60"/>
      <c r="S146" s="23"/>
      <c r="T146" s="60"/>
      <c r="U146" s="58"/>
      <c r="V146" s="48"/>
      <c r="W146" s="48"/>
      <c r="X146" s="23"/>
      <c r="Y146" s="23"/>
      <c r="Z146" s="23"/>
      <c r="AA146" s="60"/>
      <c r="AB146" s="55"/>
      <c r="AC146" s="23"/>
      <c r="AJ146" s="48"/>
      <c r="AK146" s="48"/>
      <c r="AL146" s="48"/>
      <c r="AM146" s="60"/>
      <c r="AN146" s="23"/>
      <c r="AO146" s="23"/>
      <c r="AP146" s="23"/>
      <c r="AQ146" s="54"/>
      <c r="AR146" s="23"/>
      <c r="AS146" s="23"/>
      <c r="AT146" s="60"/>
      <c r="AV146" s="23"/>
      <c r="AX146" s="49"/>
      <c r="AY146" s="50"/>
      <c r="AZ146" s="50"/>
      <c r="BA146" s="24"/>
      <c r="BB146" s="24"/>
      <c r="BC146" s="22"/>
      <c r="BD146" s="23"/>
      <c r="BF146" s="48"/>
      <c r="BG146" s="54"/>
      <c r="BL146" s="53"/>
      <c r="BM146" s="53"/>
      <c r="BO146" s="53"/>
      <c r="BP146" s="53"/>
      <c r="BQ146" s="53"/>
      <c r="BR146" s="66"/>
      <c r="BS146" s="66"/>
      <c r="BW146" s="191"/>
      <c r="BX146" s="191"/>
      <c r="BY146" s="53"/>
      <c r="BZ146" s="53"/>
      <c r="CA146" s="53"/>
      <c r="CB146" s="53"/>
      <c r="CC146" s="53"/>
      <c r="CG146" s="53"/>
      <c r="CZ146" s="23"/>
      <c r="DD146" s="361"/>
      <c r="DM146" s="373"/>
    </row>
    <row r="147" spans="8:117" s="3" customFormat="1">
      <c r="H147" s="22"/>
      <c r="I147" s="24"/>
      <c r="J147" s="24"/>
      <c r="K147" s="24"/>
      <c r="L147" s="46"/>
      <c r="M147" s="41"/>
      <c r="N147" s="47"/>
      <c r="O147" s="24"/>
      <c r="P147" s="47"/>
      <c r="R147" s="60"/>
      <c r="S147" s="23"/>
      <c r="T147" s="60"/>
      <c r="U147" s="58"/>
      <c r="V147" s="48"/>
      <c r="W147" s="48"/>
      <c r="X147" s="23"/>
      <c r="Y147" s="23"/>
      <c r="Z147" s="23"/>
      <c r="AA147" s="60"/>
      <c r="AB147" s="55"/>
      <c r="AC147" s="23"/>
      <c r="AJ147" s="48"/>
      <c r="AK147" s="48"/>
      <c r="AL147" s="48"/>
      <c r="AM147" s="60"/>
      <c r="AN147" s="23"/>
      <c r="AO147" s="23"/>
      <c r="AP147" s="23"/>
      <c r="AQ147" s="54"/>
      <c r="AR147" s="23"/>
      <c r="AS147" s="23"/>
      <c r="AT147" s="60"/>
      <c r="AV147" s="23"/>
      <c r="AX147" s="49"/>
      <c r="AY147" s="50"/>
      <c r="AZ147" s="50"/>
      <c r="BA147" s="24"/>
      <c r="BB147" s="24"/>
      <c r="BC147" s="22"/>
      <c r="BD147" s="23"/>
      <c r="BF147" s="48"/>
      <c r="BG147" s="54"/>
      <c r="BL147" s="53"/>
      <c r="BM147" s="53"/>
      <c r="BO147" s="53"/>
      <c r="BP147" s="53"/>
      <c r="BQ147" s="53"/>
      <c r="BR147" s="66"/>
      <c r="BS147" s="66"/>
      <c r="BW147" s="191"/>
      <c r="BX147" s="191"/>
      <c r="BY147" s="53"/>
      <c r="BZ147" s="53"/>
      <c r="CA147" s="53"/>
      <c r="CB147" s="53"/>
      <c r="CC147" s="53"/>
      <c r="CG147" s="53"/>
      <c r="CZ147" s="23"/>
      <c r="DD147" s="361"/>
      <c r="DM147" s="373"/>
    </row>
    <row r="148" spans="8:117" s="3" customFormat="1">
      <c r="H148" s="22"/>
      <c r="I148" s="24"/>
      <c r="J148" s="24"/>
      <c r="K148" s="24"/>
      <c r="L148" s="46"/>
      <c r="M148" s="41"/>
      <c r="N148" s="47"/>
      <c r="O148" s="24"/>
      <c r="P148" s="47"/>
      <c r="R148" s="60"/>
      <c r="S148" s="23"/>
      <c r="T148" s="60"/>
      <c r="U148" s="58"/>
      <c r="V148" s="48"/>
      <c r="W148" s="48"/>
      <c r="X148" s="23"/>
      <c r="Y148" s="23"/>
      <c r="Z148" s="23"/>
      <c r="AA148" s="60"/>
      <c r="AB148" s="55"/>
      <c r="AC148" s="23"/>
      <c r="AJ148" s="48"/>
      <c r="AK148" s="48"/>
      <c r="AL148" s="48"/>
      <c r="AM148" s="60"/>
      <c r="AN148" s="23"/>
      <c r="AO148" s="23"/>
      <c r="AP148" s="23"/>
      <c r="AQ148" s="54"/>
      <c r="AR148" s="23"/>
      <c r="AS148" s="23"/>
      <c r="AT148" s="60"/>
      <c r="AV148" s="23"/>
      <c r="AX148" s="49"/>
      <c r="AY148" s="50"/>
      <c r="AZ148" s="50"/>
      <c r="BA148" s="24"/>
      <c r="BB148" s="24"/>
      <c r="BC148" s="22"/>
      <c r="BD148" s="23"/>
      <c r="BF148" s="48"/>
      <c r="BG148" s="54"/>
      <c r="BL148" s="53"/>
      <c r="BM148" s="53"/>
      <c r="BO148" s="53"/>
      <c r="BP148" s="53"/>
      <c r="BQ148" s="53"/>
      <c r="BR148" s="66"/>
      <c r="BS148" s="66"/>
      <c r="BW148" s="191"/>
      <c r="BX148" s="191"/>
      <c r="BY148" s="53"/>
      <c r="BZ148" s="53"/>
      <c r="CA148" s="53"/>
      <c r="CB148" s="53"/>
      <c r="CC148" s="53"/>
      <c r="CG148" s="53"/>
      <c r="CZ148" s="23"/>
      <c r="DD148" s="361"/>
      <c r="DM148" s="373"/>
    </row>
    <row r="149" spans="8:117" s="3" customFormat="1">
      <c r="H149" s="22"/>
      <c r="I149" s="24"/>
      <c r="J149" s="24"/>
      <c r="K149" s="24"/>
      <c r="L149" s="46"/>
      <c r="M149" s="41"/>
      <c r="N149" s="47"/>
      <c r="O149" s="24"/>
      <c r="P149" s="47"/>
      <c r="R149" s="60"/>
      <c r="S149" s="23"/>
      <c r="T149" s="60"/>
      <c r="U149" s="58"/>
      <c r="V149" s="48"/>
      <c r="W149" s="48"/>
      <c r="X149" s="23"/>
      <c r="Y149" s="23"/>
      <c r="Z149" s="23"/>
      <c r="AA149" s="60"/>
      <c r="AB149" s="55"/>
      <c r="AC149" s="23"/>
      <c r="AJ149" s="48"/>
      <c r="AK149" s="48"/>
      <c r="AL149" s="48"/>
      <c r="AM149" s="60"/>
      <c r="AN149" s="23"/>
      <c r="AO149" s="23"/>
      <c r="AP149" s="23"/>
      <c r="AQ149" s="54"/>
      <c r="AR149" s="23"/>
      <c r="AS149" s="23"/>
      <c r="AT149" s="60"/>
      <c r="AV149" s="23"/>
      <c r="AX149" s="49"/>
      <c r="AY149" s="50"/>
      <c r="AZ149" s="50"/>
      <c r="BA149" s="24"/>
      <c r="BB149" s="24"/>
      <c r="BC149" s="22"/>
      <c r="BD149" s="23"/>
      <c r="BF149" s="48"/>
      <c r="BG149" s="54"/>
      <c r="BL149" s="53"/>
      <c r="BM149" s="53"/>
      <c r="BO149" s="53"/>
      <c r="BP149" s="53"/>
      <c r="BQ149" s="53"/>
      <c r="BR149" s="66"/>
      <c r="BS149" s="66"/>
      <c r="BW149" s="191"/>
      <c r="BX149" s="191"/>
      <c r="BY149" s="53"/>
      <c r="BZ149" s="53"/>
      <c r="CA149" s="53"/>
      <c r="CB149" s="53"/>
      <c r="CC149" s="53"/>
      <c r="CG149" s="53"/>
      <c r="CZ149" s="23"/>
      <c r="DD149" s="361"/>
      <c r="DM149" s="373"/>
    </row>
    <row r="150" spans="8:117" s="3" customFormat="1">
      <c r="H150" s="22"/>
      <c r="I150" s="24"/>
      <c r="J150" s="24"/>
      <c r="K150" s="24"/>
      <c r="L150" s="46"/>
      <c r="M150" s="41"/>
      <c r="N150" s="47"/>
      <c r="O150" s="24"/>
      <c r="P150" s="47"/>
      <c r="R150" s="60"/>
      <c r="S150" s="23"/>
      <c r="T150" s="60"/>
      <c r="U150" s="58"/>
      <c r="V150" s="48"/>
      <c r="W150" s="48"/>
      <c r="X150" s="23"/>
      <c r="Y150" s="23"/>
      <c r="Z150" s="23"/>
      <c r="AA150" s="60"/>
      <c r="AB150" s="55"/>
      <c r="AC150" s="23"/>
      <c r="AJ150" s="48"/>
      <c r="AK150" s="48"/>
      <c r="AL150" s="48"/>
      <c r="AM150" s="60"/>
      <c r="AN150" s="23"/>
      <c r="AO150" s="23"/>
      <c r="AP150" s="23"/>
      <c r="AQ150" s="54"/>
      <c r="AR150" s="23"/>
      <c r="AS150" s="23"/>
      <c r="AT150" s="60"/>
      <c r="AV150" s="23"/>
      <c r="AX150" s="49"/>
      <c r="AY150" s="50"/>
      <c r="AZ150" s="50"/>
      <c r="BA150" s="24"/>
      <c r="BB150" s="24"/>
      <c r="BC150" s="22"/>
      <c r="BD150" s="23"/>
      <c r="BF150" s="48"/>
      <c r="BG150" s="54"/>
      <c r="BL150" s="53"/>
      <c r="BM150" s="53"/>
      <c r="BO150" s="53"/>
      <c r="BP150" s="53"/>
      <c r="BQ150" s="53"/>
      <c r="BR150" s="66"/>
      <c r="BS150" s="66"/>
      <c r="BW150" s="191"/>
      <c r="BX150" s="191"/>
      <c r="BY150" s="53"/>
      <c r="BZ150" s="53"/>
      <c r="CA150" s="53"/>
      <c r="CB150" s="53"/>
      <c r="CC150" s="53"/>
      <c r="CG150" s="53"/>
      <c r="CZ150" s="23"/>
      <c r="DD150" s="361"/>
      <c r="DM150" s="373"/>
    </row>
    <row r="151" spans="8:117" s="3" customFormat="1">
      <c r="H151" s="22"/>
      <c r="I151" s="24"/>
      <c r="J151" s="24"/>
      <c r="K151" s="24"/>
      <c r="L151" s="46"/>
      <c r="M151" s="41"/>
      <c r="N151" s="47"/>
      <c r="O151" s="24"/>
      <c r="P151" s="47"/>
      <c r="R151" s="60"/>
      <c r="S151" s="23"/>
      <c r="T151" s="60"/>
      <c r="U151" s="58"/>
      <c r="V151" s="48"/>
      <c r="W151" s="48"/>
      <c r="X151" s="23"/>
      <c r="Y151" s="23"/>
      <c r="Z151" s="23"/>
      <c r="AA151" s="60"/>
      <c r="AB151" s="55"/>
      <c r="AC151" s="23"/>
      <c r="AJ151" s="48"/>
      <c r="AK151" s="48"/>
      <c r="AL151" s="48"/>
      <c r="AM151" s="60"/>
      <c r="AN151" s="23"/>
      <c r="AO151" s="23"/>
      <c r="AP151" s="23"/>
      <c r="AQ151" s="54"/>
      <c r="AR151" s="23"/>
      <c r="AS151" s="23"/>
      <c r="AT151" s="60"/>
      <c r="AV151" s="23"/>
      <c r="AX151" s="49"/>
      <c r="AY151" s="50"/>
      <c r="AZ151" s="50"/>
      <c r="BA151" s="24"/>
      <c r="BB151" s="24"/>
      <c r="BC151" s="22"/>
      <c r="BD151" s="23"/>
      <c r="BF151" s="48"/>
      <c r="BG151" s="54"/>
      <c r="BL151" s="53"/>
      <c r="BM151" s="53"/>
      <c r="BO151" s="53"/>
      <c r="BP151" s="53"/>
      <c r="BQ151" s="53"/>
      <c r="BR151" s="66"/>
      <c r="BS151" s="66"/>
      <c r="BW151" s="191"/>
      <c r="BX151" s="191"/>
      <c r="BY151" s="53"/>
      <c r="BZ151" s="53"/>
      <c r="CA151" s="53"/>
      <c r="CB151" s="53"/>
      <c r="CC151" s="53"/>
      <c r="CG151" s="53"/>
      <c r="CZ151" s="23"/>
      <c r="DD151" s="361"/>
      <c r="DM151" s="373"/>
    </row>
    <row r="152" spans="8:117" s="3" customFormat="1">
      <c r="H152" s="22"/>
      <c r="I152" s="24"/>
      <c r="J152" s="24"/>
      <c r="K152" s="24"/>
      <c r="L152" s="46"/>
      <c r="M152" s="41"/>
      <c r="N152" s="47"/>
      <c r="O152" s="24"/>
      <c r="P152" s="47"/>
      <c r="R152" s="60"/>
      <c r="S152" s="23"/>
      <c r="T152" s="60"/>
      <c r="U152" s="58"/>
      <c r="V152" s="48"/>
      <c r="W152" s="48"/>
      <c r="X152" s="23"/>
      <c r="Y152" s="23"/>
      <c r="Z152" s="23"/>
      <c r="AA152" s="60"/>
      <c r="AB152" s="55"/>
      <c r="AC152" s="23"/>
      <c r="AJ152" s="48"/>
      <c r="AK152" s="48"/>
      <c r="AL152" s="48"/>
      <c r="AM152" s="60"/>
      <c r="AN152" s="23"/>
      <c r="AO152" s="23"/>
      <c r="AP152" s="23"/>
      <c r="AQ152" s="54"/>
      <c r="AR152" s="23"/>
      <c r="AS152" s="23"/>
      <c r="AT152" s="60"/>
      <c r="AV152" s="23"/>
      <c r="AX152" s="49"/>
      <c r="AY152" s="50"/>
      <c r="AZ152" s="50"/>
      <c r="BA152" s="24"/>
      <c r="BB152" s="24"/>
      <c r="BC152" s="22"/>
      <c r="BD152" s="23"/>
      <c r="BF152" s="48"/>
      <c r="BG152" s="54"/>
      <c r="BL152" s="53"/>
      <c r="BM152" s="53"/>
      <c r="BO152" s="53"/>
      <c r="BP152" s="53"/>
      <c r="BQ152" s="53"/>
      <c r="BR152" s="66"/>
      <c r="BS152" s="66"/>
      <c r="BW152" s="191"/>
      <c r="BX152" s="191"/>
      <c r="BY152" s="53"/>
      <c r="BZ152" s="53"/>
      <c r="CA152" s="53"/>
      <c r="CB152" s="53"/>
      <c r="CC152" s="53"/>
      <c r="CG152" s="53"/>
      <c r="CZ152" s="23"/>
      <c r="DD152" s="361"/>
      <c r="DM152" s="373"/>
    </row>
    <row r="153" spans="8:117" s="3" customFormat="1">
      <c r="H153" s="22"/>
      <c r="I153" s="24"/>
      <c r="J153" s="24"/>
      <c r="K153" s="24"/>
      <c r="L153" s="46"/>
      <c r="M153" s="41"/>
      <c r="N153" s="47"/>
      <c r="O153" s="24"/>
      <c r="P153" s="47"/>
      <c r="R153" s="60"/>
      <c r="S153" s="23"/>
      <c r="T153" s="60"/>
      <c r="U153" s="58"/>
      <c r="V153" s="48"/>
      <c r="W153" s="48"/>
      <c r="X153" s="23"/>
      <c r="Y153" s="23"/>
      <c r="Z153" s="23"/>
      <c r="AA153" s="60"/>
      <c r="AB153" s="55"/>
      <c r="AC153" s="23"/>
      <c r="AJ153" s="48"/>
      <c r="AK153" s="48"/>
      <c r="AL153" s="48"/>
      <c r="AM153" s="60"/>
      <c r="AN153" s="23"/>
      <c r="AO153" s="23"/>
      <c r="AP153" s="23"/>
      <c r="AQ153" s="54"/>
      <c r="AR153" s="23"/>
      <c r="AS153" s="23"/>
      <c r="AT153" s="60"/>
      <c r="AV153" s="23"/>
      <c r="AX153" s="49"/>
      <c r="AY153" s="50"/>
      <c r="AZ153" s="50"/>
      <c r="BA153" s="24"/>
      <c r="BB153" s="24"/>
      <c r="BC153" s="22"/>
      <c r="BD153" s="23"/>
      <c r="BF153" s="48"/>
      <c r="BG153" s="54"/>
      <c r="BL153" s="53"/>
      <c r="BM153" s="53"/>
      <c r="BO153" s="53"/>
      <c r="BP153" s="53"/>
      <c r="BQ153" s="53"/>
      <c r="BR153" s="66"/>
      <c r="BS153" s="66"/>
      <c r="BW153" s="191"/>
      <c r="BX153" s="191"/>
      <c r="BY153" s="53"/>
      <c r="BZ153" s="53"/>
      <c r="CA153" s="53"/>
      <c r="CB153" s="53"/>
      <c r="CC153" s="53"/>
      <c r="CG153" s="53"/>
      <c r="CZ153" s="23"/>
      <c r="DD153" s="361"/>
      <c r="DM153" s="373"/>
    </row>
    <row r="154" spans="8:117" s="3" customFormat="1">
      <c r="H154" s="22"/>
      <c r="I154" s="24"/>
      <c r="J154" s="24"/>
      <c r="K154" s="24"/>
      <c r="L154" s="46"/>
      <c r="M154" s="41"/>
      <c r="N154" s="47"/>
      <c r="O154" s="24"/>
      <c r="P154" s="47"/>
      <c r="R154" s="60"/>
      <c r="S154" s="23"/>
      <c r="T154" s="60"/>
      <c r="U154" s="58"/>
      <c r="V154" s="48"/>
      <c r="W154" s="48"/>
      <c r="X154" s="23"/>
      <c r="Y154" s="23"/>
      <c r="Z154" s="23"/>
      <c r="AA154" s="60"/>
      <c r="AB154" s="55"/>
      <c r="AC154" s="23"/>
      <c r="AJ154" s="48"/>
      <c r="AK154" s="48"/>
      <c r="AL154" s="48"/>
      <c r="AM154" s="60"/>
      <c r="AN154" s="23"/>
      <c r="AO154" s="23"/>
      <c r="AP154" s="23"/>
      <c r="AQ154" s="54"/>
      <c r="AR154" s="23"/>
      <c r="AS154" s="23"/>
      <c r="AT154" s="60"/>
      <c r="AV154" s="23"/>
      <c r="AX154" s="49"/>
      <c r="AY154" s="50"/>
      <c r="AZ154" s="50"/>
      <c r="BA154" s="24"/>
      <c r="BB154" s="24"/>
      <c r="BC154" s="22"/>
      <c r="BD154" s="23"/>
      <c r="BF154" s="48"/>
      <c r="BG154" s="54"/>
      <c r="BL154" s="53"/>
      <c r="BM154" s="53"/>
      <c r="BO154" s="53"/>
      <c r="BP154" s="53"/>
      <c r="BQ154" s="53"/>
      <c r="BR154" s="66"/>
      <c r="BS154" s="66"/>
      <c r="BW154" s="191"/>
      <c r="BX154" s="191"/>
      <c r="BY154" s="53"/>
      <c r="BZ154" s="53"/>
      <c r="CA154" s="53"/>
      <c r="CB154" s="53"/>
      <c r="CC154" s="53"/>
      <c r="CG154" s="53"/>
      <c r="CZ154" s="23"/>
      <c r="DD154" s="361"/>
      <c r="DM154" s="373"/>
    </row>
    <row r="155" spans="8:117" s="3" customFormat="1">
      <c r="H155" s="22"/>
      <c r="I155" s="24"/>
      <c r="J155" s="24"/>
      <c r="K155" s="24"/>
      <c r="L155" s="46"/>
      <c r="M155" s="41"/>
      <c r="N155" s="47"/>
      <c r="O155" s="24"/>
      <c r="P155" s="47"/>
      <c r="R155" s="60"/>
      <c r="S155" s="23"/>
      <c r="T155" s="60"/>
      <c r="U155" s="58"/>
      <c r="V155" s="48"/>
      <c r="W155" s="48"/>
      <c r="X155" s="23"/>
      <c r="Y155" s="23"/>
      <c r="Z155" s="23"/>
      <c r="AA155" s="60"/>
      <c r="AB155" s="55"/>
      <c r="AC155" s="23"/>
      <c r="AJ155" s="48"/>
      <c r="AK155" s="48"/>
      <c r="AL155" s="48"/>
      <c r="AM155" s="60"/>
      <c r="AN155" s="23"/>
      <c r="AO155" s="23"/>
      <c r="AP155" s="23"/>
      <c r="AQ155" s="54"/>
      <c r="AR155" s="23"/>
      <c r="AS155" s="23"/>
      <c r="AT155" s="60"/>
      <c r="AV155" s="23"/>
      <c r="AX155" s="49"/>
      <c r="AY155" s="50"/>
      <c r="AZ155" s="50"/>
      <c r="BA155" s="24"/>
      <c r="BB155" s="24"/>
      <c r="BC155" s="22"/>
      <c r="BD155" s="23"/>
      <c r="BF155" s="48"/>
      <c r="BG155" s="54"/>
      <c r="BL155" s="53"/>
      <c r="BM155" s="53"/>
      <c r="BO155" s="53"/>
      <c r="BP155" s="53"/>
      <c r="BQ155" s="53"/>
      <c r="BR155" s="66"/>
      <c r="BS155" s="66"/>
      <c r="BW155" s="191"/>
      <c r="BX155" s="191"/>
      <c r="BY155" s="53"/>
      <c r="BZ155" s="53"/>
      <c r="CA155" s="53"/>
      <c r="CB155" s="53"/>
      <c r="CC155" s="53"/>
      <c r="CG155" s="53"/>
      <c r="CZ155" s="23"/>
      <c r="DD155" s="361"/>
      <c r="DM155" s="373"/>
    </row>
    <row r="156" spans="8:117" s="3" customFormat="1">
      <c r="H156" s="22"/>
      <c r="I156" s="24"/>
      <c r="J156" s="24"/>
      <c r="K156" s="24"/>
      <c r="L156" s="46"/>
      <c r="M156" s="41"/>
      <c r="N156" s="47"/>
      <c r="O156" s="24"/>
      <c r="P156" s="47"/>
      <c r="R156" s="60"/>
      <c r="S156" s="23"/>
      <c r="T156" s="60"/>
      <c r="U156" s="58"/>
      <c r="V156" s="48"/>
      <c r="W156" s="48"/>
      <c r="X156" s="23"/>
      <c r="Y156" s="23"/>
      <c r="Z156" s="23"/>
      <c r="AA156" s="60"/>
      <c r="AB156" s="55"/>
      <c r="AC156" s="23"/>
      <c r="AJ156" s="48"/>
      <c r="AK156" s="48"/>
      <c r="AL156" s="48"/>
      <c r="AM156" s="60"/>
      <c r="AN156" s="23"/>
      <c r="AO156" s="23"/>
      <c r="AP156" s="23"/>
      <c r="AQ156" s="54"/>
      <c r="AR156" s="23"/>
      <c r="AS156" s="23"/>
      <c r="AT156" s="60"/>
      <c r="AV156" s="23"/>
      <c r="AX156" s="49"/>
      <c r="AY156" s="50"/>
      <c r="AZ156" s="50"/>
      <c r="BA156" s="24"/>
      <c r="BB156" s="24"/>
      <c r="BC156" s="22"/>
      <c r="BD156" s="23"/>
      <c r="BF156" s="48"/>
      <c r="BG156" s="54"/>
      <c r="BL156" s="53"/>
      <c r="BM156" s="53"/>
      <c r="BO156" s="53"/>
      <c r="BP156" s="53"/>
      <c r="BQ156" s="53"/>
      <c r="BR156" s="66"/>
      <c r="BS156" s="66"/>
      <c r="BW156" s="191"/>
      <c r="BX156" s="191"/>
      <c r="BY156" s="53"/>
      <c r="BZ156" s="53"/>
      <c r="CA156" s="53"/>
      <c r="CB156" s="53"/>
      <c r="CC156" s="53"/>
      <c r="CG156" s="53"/>
      <c r="CZ156" s="23"/>
      <c r="DD156" s="361"/>
      <c r="DM156" s="373"/>
    </row>
    <row r="157" spans="8:117" s="3" customFormat="1">
      <c r="H157" s="22"/>
      <c r="I157" s="24"/>
      <c r="J157" s="24"/>
      <c r="K157" s="24"/>
      <c r="L157" s="46"/>
      <c r="M157" s="41"/>
      <c r="N157" s="47"/>
      <c r="O157" s="24"/>
      <c r="P157" s="47"/>
      <c r="R157" s="60"/>
      <c r="S157" s="23"/>
      <c r="T157" s="60"/>
      <c r="U157" s="58"/>
      <c r="V157" s="48"/>
      <c r="W157" s="48"/>
      <c r="X157" s="23"/>
      <c r="Y157" s="23"/>
      <c r="Z157" s="23"/>
      <c r="AA157" s="60"/>
      <c r="AB157" s="55"/>
      <c r="AC157" s="23"/>
      <c r="AJ157" s="48"/>
      <c r="AK157" s="48"/>
      <c r="AL157" s="48"/>
      <c r="AM157" s="60"/>
      <c r="AN157" s="23"/>
      <c r="AO157" s="23"/>
      <c r="AP157" s="23"/>
      <c r="AQ157" s="54"/>
      <c r="AR157" s="23"/>
      <c r="AS157" s="23"/>
      <c r="AT157" s="60"/>
      <c r="AV157" s="23"/>
      <c r="AX157" s="49"/>
      <c r="AY157" s="50"/>
      <c r="AZ157" s="50"/>
      <c r="BA157" s="24"/>
      <c r="BB157" s="24"/>
      <c r="BC157" s="22"/>
      <c r="BD157" s="23"/>
      <c r="BF157" s="48"/>
      <c r="BG157" s="54"/>
      <c r="BL157" s="53"/>
      <c r="BM157" s="53"/>
      <c r="BO157" s="53"/>
      <c r="BP157" s="53"/>
      <c r="BQ157" s="53"/>
      <c r="BR157" s="66"/>
      <c r="BS157" s="66"/>
      <c r="BW157" s="191"/>
      <c r="BX157" s="191"/>
      <c r="BY157" s="53"/>
      <c r="BZ157" s="53"/>
      <c r="CA157" s="53"/>
      <c r="CB157" s="53"/>
      <c r="CC157" s="53"/>
      <c r="CG157" s="53"/>
      <c r="CZ157" s="23"/>
      <c r="DD157" s="361"/>
      <c r="DM157" s="373"/>
    </row>
    <row r="158" spans="8:117" s="3" customFormat="1">
      <c r="H158" s="22"/>
      <c r="I158" s="24"/>
      <c r="J158" s="24"/>
      <c r="K158" s="24"/>
      <c r="L158" s="46"/>
      <c r="M158" s="41"/>
      <c r="N158" s="47"/>
      <c r="O158" s="24"/>
      <c r="P158" s="47"/>
      <c r="R158" s="60"/>
      <c r="S158" s="23"/>
      <c r="T158" s="60"/>
      <c r="U158" s="58"/>
      <c r="V158" s="48"/>
      <c r="W158" s="48"/>
      <c r="X158" s="23"/>
      <c r="Y158" s="23"/>
      <c r="Z158" s="23"/>
      <c r="AA158" s="60"/>
      <c r="AB158" s="55"/>
      <c r="AC158" s="23"/>
      <c r="AJ158" s="48"/>
      <c r="AK158" s="48"/>
      <c r="AL158" s="48"/>
      <c r="AM158" s="60"/>
      <c r="AN158" s="23"/>
      <c r="AO158" s="23"/>
      <c r="AP158" s="23"/>
      <c r="AQ158" s="54"/>
      <c r="AR158" s="23"/>
      <c r="AS158" s="23"/>
      <c r="AT158" s="60"/>
      <c r="AV158" s="23"/>
      <c r="AX158" s="49"/>
      <c r="AY158" s="50"/>
      <c r="AZ158" s="50"/>
      <c r="BA158" s="24"/>
      <c r="BB158" s="24"/>
      <c r="BC158" s="22"/>
      <c r="BD158" s="23"/>
      <c r="BF158" s="48"/>
      <c r="BG158" s="54"/>
      <c r="BL158" s="53"/>
      <c r="BM158" s="53"/>
      <c r="BO158" s="53"/>
      <c r="BP158" s="53"/>
      <c r="BQ158" s="53"/>
      <c r="BR158" s="66"/>
      <c r="BS158" s="66"/>
      <c r="BW158" s="191"/>
      <c r="BX158" s="191"/>
      <c r="BY158" s="53"/>
      <c r="BZ158" s="53"/>
      <c r="CA158" s="53"/>
      <c r="CB158" s="53"/>
      <c r="CC158" s="53"/>
      <c r="CG158" s="53"/>
      <c r="CZ158" s="23"/>
      <c r="DD158" s="361"/>
      <c r="DM158" s="373"/>
    </row>
    <row r="159" spans="8:117" s="3" customFormat="1">
      <c r="H159" s="22"/>
      <c r="I159" s="24"/>
      <c r="J159" s="24"/>
      <c r="K159" s="24"/>
      <c r="L159" s="46"/>
      <c r="M159" s="41"/>
      <c r="N159" s="47"/>
      <c r="O159" s="24"/>
      <c r="P159" s="47"/>
      <c r="R159" s="60"/>
      <c r="S159" s="23"/>
      <c r="T159" s="60"/>
      <c r="U159" s="58"/>
      <c r="V159" s="48"/>
      <c r="W159" s="48"/>
      <c r="X159" s="23"/>
      <c r="Y159" s="23"/>
      <c r="Z159" s="23"/>
      <c r="AA159" s="60"/>
      <c r="AB159" s="55"/>
      <c r="AC159" s="23"/>
      <c r="AJ159" s="48"/>
      <c r="AK159" s="48"/>
      <c r="AL159" s="48"/>
      <c r="AM159" s="60"/>
      <c r="AN159" s="23"/>
      <c r="AO159" s="23"/>
      <c r="AP159" s="23"/>
      <c r="AQ159" s="54"/>
      <c r="AR159" s="23"/>
      <c r="AS159" s="23"/>
      <c r="AT159" s="60"/>
      <c r="AV159" s="23"/>
      <c r="AX159" s="49"/>
      <c r="AY159" s="50"/>
      <c r="AZ159" s="50"/>
      <c r="BA159" s="24"/>
      <c r="BB159" s="24"/>
      <c r="BC159" s="22"/>
      <c r="BD159" s="23"/>
      <c r="BF159" s="48"/>
      <c r="BG159" s="54"/>
      <c r="BL159" s="53"/>
      <c r="BM159" s="53"/>
      <c r="BO159" s="53"/>
      <c r="BP159" s="53"/>
      <c r="BQ159" s="53"/>
      <c r="BR159" s="66"/>
      <c r="BS159" s="66"/>
      <c r="BW159" s="191"/>
      <c r="BX159" s="191"/>
      <c r="BY159" s="53"/>
      <c r="BZ159" s="53"/>
      <c r="CA159" s="53"/>
      <c r="CB159" s="53"/>
      <c r="CC159" s="53"/>
      <c r="CG159" s="53"/>
      <c r="CZ159" s="23"/>
      <c r="DD159" s="361"/>
      <c r="DM159" s="373"/>
    </row>
    <row r="160" spans="8:117" s="3" customFormat="1">
      <c r="H160" s="22"/>
      <c r="I160" s="24"/>
      <c r="J160" s="24"/>
      <c r="K160" s="24"/>
      <c r="L160" s="46"/>
      <c r="M160" s="41"/>
      <c r="N160" s="47"/>
      <c r="O160" s="24"/>
      <c r="P160" s="47"/>
      <c r="R160" s="60"/>
      <c r="S160" s="23"/>
      <c r="T160" s="60"/>
      <c r="U160" s="58"/>
      <c r="V160" s="48"/>
      <c r="W160" s="48"/>
      <c r="X160" s="23"/>
      <c r="Y160" s="23"/>
      <c r="Z160" s="23"/>
      <c r="AA160" s="60"/>
      <c r="AB160" s="55"/>
      <c r="AC160" s="23"/>
      <c r="AJ160" s="48"/>
      <c r="AK160" s="48"/>
      <c r="AL160" s="48"/>
      <c r="AM160" s="60"/>
      <c r="AN160" s="23"/>
      <c r="AO160" s="23"/>
      <c r="AP160" s="23"/>
      <c r="AQ160" s="54"/>
      <c r="AR160" s="23"/>
      <c r="AS160" s="23"/>
      <c r="AT160" s="60"/>
      <c r="AV160" s="23"/>
      <c r="AX160" s="49"/>
      <c r="AY160" s="50"/>
      <c r="AZ160" s="50"/>
      <c r="BA160" s="24"/>
      <c r="BB160" s="24"/>
      <c r="BC160" s="22"/>
      <c r="BD160" s="23"/>
      <c r="BF160" s="48"/>
      <c r="BG160" s="54"/>
      <c r="BL160" s="53"/>
      <c r="BM160" s="53"/>
      <c r="BO160" s="53"/>
      <c r="BP160" s="53"/>
      <c r="BQ160" s="53"/>
      <c r="BR160" s="66"/>
      <c r="BS160" s="66"/>
      <c r="BW160" s="191"/>
      <c r="BX160" s="191"/>
      <c r="BY160" s="53"/>
      <c r="BZ160" s="53"/>
      <c r="CA160" s="53"/>
      <c r="CB160" s="53"/>
      <c r="CC160" s="53"/>
      <c r="CG160" s="53"/>
      <c r="CZ160" s="23"/>
      <c r="DD160" s="361"/>
      <c r="DM160" s="373"/>
    </row>
    <row r="161" spans="8:117" s="3" customFormat="1">
      <c r="H161" s="22"/>
      <c r="I161" s="24"/>
      <c r="J161" s="24"/>
      <c r="K161" s="24"/>
      <c r="L161" s="46"/>
      <c r="M161" s="41"/>
      <c r="N161" s="47"/>
      <c r="O161" s="24"/>
      <c r="P161" s="47"/>
      <c r="R161" s="60"/>
      <c r="S161" s="23"/>
      <c r="T161" s="60"/>
      <c r="U161" s="58"/>
      <c r="V161" s="48"/>
      <c r="W161" s="48"/>
      <c r="X161" s="23"/>
      <c r="Y161" s="23"/>
      <c r="Z161" s="23"/>
      <c r="AA161" s="60"/>
      <c r="AB161" s="55"/>
      <c r="AC161" s="23"/>
      <c r="AJ161" s="48"/>
      <c r="AK161" s="48"/>
      <c r="AL161" s="48"/>
      <c r="AM161" s="60"/>
      <c r="AN161" s="23"/>
      <c r="AO161" s="23"/>
      <c r="AP161" s="23"/>
      <c r="AQ161" s="54"/>
      <c r="AR161" s="23"/>
      <c r="AS161" s="23"/>
      <c r="AT161" s="60"/>
      <c r="AV161" s="23"/>
      <c r="AX161" s="49"/>
      <c r="AY161" s="50"/>
      <c r="AZ161" s="50"/>
      <c r="BA161" s="24"/>
      <c r="BB161" s="24"/>
      <c r="BC161" s="22"/>
      <c r="BD161" s="23"/>
      <c r="BF161" s="48"/>
      <c r="BG161" s="54"/>
      <c r="BL161" s="53"/>
      <c r="BM161" s="53"/>
      <c r="BO161" s="53"/>
      <c r="BP161" s="53"/>
      <c r="BQ161" s="53"/>
      <c r="BR161" s="66"/>
      <c r="BS161" s="66"/>
      <c r="BW161" s="191"/>
      <c r="BX161" s="191"/>
      <c r="BY161" s="53"/>
      <c r="BZ161" s="53"/>
      <c r="CA161" s="53"/>
      <c r="CB161" s="53"/>
      <c r="CC161" s="53"/>
      <c r="CG161" s="53"/>
      <c r="CZ161" s="23"/>
      <c r="DD161" s="361"/>
      <c r="DM161" s="373"/>
    </row>
    <row r="162" spans="8:117" s="3" customFormat="1">
      <c r="H162" s="22"/>
      <c r="I162" s="24"/>
      <c r="J162" s="24"/>
      <c r="K162" s="24"/>
      <c r="L162" s="46"/>
      <c r="M162" s="41"/>
      <c r="N162" s="47"/>
      <c r="O162" s="24"/>
      <c r="P162" s="47"/>
      <c r="R162" s="60"/>
      <c r="S162" s="23"/>
      <c r="T162" s="60"/>
      <c r="U162" s="58"/>
      <c r="V162" s="48"/>
      <c r="W162" s="48"/>
      <c r="X162" s="23"/>
      <c r="Y162" s="23"/>
      <c r="Z162" s="23"/>
      <c r="AA162" s="60"/>
      <c r="AB162" s="55"/>
      <c r="AC162" s="23"/>
      <c r="AJ162" s="48"/>
      <c r="AK162" s="48"/>
      <c r="AL162" s="48"/>
      <c r="AM162" s="60"/>
      <c r="AN162" s="23"/>
      <c r="AO162" s="23"/>
      <c r="AP162" s="23"/>
      <c r="AQ162" s="54"/>
      <c r="AR162" s="23"/>
      <c r="AS162" s="23"/>
      <c r="AT162" s="60"/>
      <c r="AV162" s="23"/>
      <c r="AX162" s="49"/>
      <c r="AY162" s="50"/>
      <c r="AZ162" s="50"/>
      <c r="BA162" s="24"/>
      <c r="BB162" s="24"/>
      <c r="BC162" s="22"/>
      <c r="BD162" s="23"/>
      <c r="BF162" s="48"/>
      <c r="BG162" s="54"/>
      <c r="BL162" s="53"/>
      <c r="BM162" s="53"/>
      <c r="BO162" s="53"/>
      <c r="BP162" s="53"/>
      <c r="BQ162" s="53"/>
      <c r="BR162" s="66"/>
      <c r="BS162" s="66"/>
      <c r="BW162" s="191"/>
      <c r="BX162" s="191"/>
      <c r="BY162" s="53"/>
      <c r="BZ162" s="53"/>
      <c r="CA162" s="53"/>
      <c r="CB162" s="53"/>
      <c r="CC162" s="53"/>
      <c r="CG162" s="53"/>
      <c r="CZ162" s="23"/>
      <c r="DD162" s="361"/>
      <c r="DM162" s="373"/>
    </row>
    <row r="163" spans="8:117" s="3" customFormat="1">
      <c r="H163" s="22"/>
      <c r="I163" s="24"/>
      <c r="J163" s="24"/>
      <c r="K163" s="24"/>
      <c r="L163" s="46"/>
      <c r="M163" s="41"/>
      <c r="N163" s="47"/>
      <c r="O163" s="24"/>
      <c r="P163" s="47"/>
      <c r="R163" s="60"/>
      <c r="S163" s="23"/>
      <c r="T163" s="60"/>
      <c r="U163" s="58"/>
      <c r="V163" s="48"/>
      <c r="W163" s="48"/>
      <c r="X163" s="23"/>
      <c r="Y163" s="23"/>
      <c r="Z163" s="23"/>
      <c r="AA163" s="60"/>
      <c r="AB163" s="55"/>
      <c r="AC163" s="23"/>
      <c r="AJ163" s="48"/>
      <c r="AK163" s="48"/>
      <c r="AL163" s="48"/>
      <c r="AM163" s="60"/>
      <c r="AN163" s="23"/>
      <c r="AO163" s="23"/>
      <c r="AP163" s="23"/>
      <c r="AQ163" s="54"/>
      <c r="AR163" s="23"/>
      <c r="AS163" s="23"/>
      <c r="AT163" s="60"/>
      <c r="AV163" s="23"/>
      <c r="AX163" s="49"/>
      <c r="AY163" s="50"/>
      <c r="AZ163" s="50"/>
      <c r="BA163" s="24"/>
      <c r="BB163" s="24"/>
      <c r="BC163" s="22"/>
      <c r="BD163" s="23"/>
      <c r="BF163" s="48"/>
      <c r="BG163" s="54"/>
      <c r="BL163" s="53"/>
      <c r="BM163" s="53"/>
      <c r="BO163" s="53"/>
      <c r="BP163" s="53"/>
      <c r="BQ163" s="53"/>
      <c r="BR163" s="66"/>
      <c r="BS163" s="66"/>
      <c r="BW163" s="191"/>
      <c r="BX163" s="191"/>
      <c r="BY163" s="53"/>
      <c r="BZ163" s="53"/>
      <c r="CA163" s="53"/>
      <c r="CB163" s="53"/>
      <c r="CC163" s="53"/>
      <c r="CG163" s="53"/>
      <c r="CZ163" s="23"/>
      <c r="DD163" s="361"/>
      <c r="DM163" s="373"/>
    </row>
    <row r="164" spans="8:117" s="3" customFormat="1">
      <c r="H164" s="22"/>
      <c r="I164" s="24"/>
      <c r="J164" s="24"/>
      <c r="K164" s="24"/>
      <c r="L164" s="46"/>
      <c r="M164" s="41"/>
      <c r="N164" s="47"/>
      <c r="O164" s="24"/>
      <c r="P164" s="47"/>
      <c r="R164" s="60"/>
      <c r="S164" s="23"/>
      <c r="T164" s="60"/>
      <c r="U164" s="58"/>
      <c r="V164" s="48"/>
      <c r="W164" s="48"/>
      <c r="X164" s="23"/>
      <c r="Y164" s="23"/>
      <c r="Z164" s="23"/>
      <c r="AA164" s="60"/>
      <c r="AB164" s="55"/>
      <c r="AC164" s="23"/>
      <c r="AJ164" s="48"/>
      <c r="AK164" s="48"/>
      <c r="AL164" s="48"/>
      <c r="AM164" s="60"/>
      <c r="AN164" s="23"/>
      <c r="AO164" s="23"/>
      <c r="AP164" s="23"/>
      <c r="AQ164" s="54"/>
      <c r="AR164" s="23"/>
      <c r="AS164" s="23"/>
      <c r="AT164" s="60"/>
      <c r="AV164" s="23"/>
      <c r="AX164" s="49"/>
      <c r="AY164" s="50"/>
      <c r="AZ164" s="50"/>
      <c r="BA164" s="24"/>
      <c r="BB164" s="24"/>
      <c r="BC164" s="22"/>
      <c r="BD164" s="23"/>
      <c r="BF164" s="48"/>
      <c r="BG164" s="54"/>
      <c r="BL164" s="53"/>
      <c r="BM164" s="53"/>
      <c r="BO164" s="53"/>
      <c r="BP164" s="53"/>
      <c r="BQ164" s="53"/>
      <c r="BR164" s="66"/>
      <c r="BS164" s="66"/>
      <c r="BW164" s="191"/>
      <c r="BX164" s="191"/>
      <c r="BY164" s="53"/>
      <c r="BZ164" s="53"/>
      <c r="CA164" s="53"/>
      <c r="CB164" s="53"/>
      <c r="CC164" s="53"/>
      <c r="CG164" s="53"/>
      <c r="CZ164" s="23"/>
      <c r="DD164" s="361"/>
      <c r="DM164" s="373"/>
    </row>
    <row r="165" spans="8:117" s="3" customFormat="1">
      <c r="H165" s="22"/>
      <c r="I165" s="24"/>
      <c r="J165" s="24"/>
      <c r="K165" s="24"/>
      <c r="L165" s="46"/>
      <c r="M165" s="41"/>
      <c r="N165" s="47"/>
      <c r="O165" s="24"/>
      <c r="P165" s="47"/>
      <c r="R165" s="60"/>
      <c r="S165" s="23"/>
      <c r="T165" s="60"/>
      <c r="U165" s="58"/>
      <c r="V165" s="48"/>
      <c r="W165" s="48"/>
      <c r="X165" s="23"/>
      <c r="Y165" s="23"/>
      <c r="Z165" s="23"/>
      <c r="AA165" s="60"/>
      <c r="AB165" s="55"/>
      <c r="AC165" s="23"/>
      <c r="AJ165" s="48"/>
      <c r="AK165" s="48"/>
      <c r="AL165" s="48"/>
      <c r="AM165" s="60"/>
      <c r="AN165" s="23"/>
      <c r="AO165" s="23"/>
      <c r="AP165" s="23"/>
      <c r="AQ165" s="54"/>
      <c r="AR165" s="23"/>
      <c r="AS165" s="23"/>
      <c r="AT165" s="60"/>
      <c r="AV165" s="23"/>
      <c r="AX165" s="49"/>
      <c r="AY165" s="50"/>
      <c r="AZ165" s="50"/>
      <c r="BA165" s="24"/>
      <c r="BB165" s="24"/>
      <c r="BC165" s="22"/>
      <c r="BD165" s="23"/>
      <c r="BF165" s="48"/>
      <c r="BG165" s="54"/>
      <c r="BL165" s="53"/>
      <c r="BM165" s="53"/>
      <c r="BO165" s="53"/>
      <c r="BP165" s="53"/>
      <c r="BQ165" s="53"/>
      <c r="BR165" s="66"/>
      <c r="BS165" s="66"/>
      <c r="BW165" s="191"/>
      <c r="BX165" s="191"/>
      <c r="BY165" s="53"/>
      <c r="BZ165" s="53"/>
      <c r="CA165" s="53"/>
      <c r="CB165" s="53"/>
      <c r="CC165" s="53"/>
      <c r="CG165" s="53"/>
      <c r="CZ165" s="23"/>
      <c r="DD165" s="361"/>
      <c r="DM165" s="373"/>
    </row>
    <row r="166" spans="8:117" s="3" customFormat="1">
      <c r="H166" s="22"/>
      <c r="I166" s="24"/>
      <c r="J166" s="24"/>
      <c r="K166" s="24"/>
      <c r="L166" s="46"/>
      <c r="M166" s="41"/>
      <c r="N166" s="47"/>
      <c r="O166" s="24"/>
      <c r="P166" s="47"/>
      <c r="R166" s="60"/>
      <c r="S166" s="23"/>
      <c r="T166" s="60"/>
      <c r="U166" s="58"/>
      <c r="V166" s="48"/>
      <c r="W166" s="48"/>
      <c r="X166" s="23"/>
      <c r="Y166" s="23"/>
      <c r="Z166" s="23"/>
      <c r="AA166" s="60"/>
      <c r="AB166" s="55"/>
      <c r="AC166" s="23"/>
      <c r="AJ166" s="48"/>
      <c r="AK166" s="48"/>
      <c r="AL166" s="48"/>
      <c r="AM166" s="60"/>
      <c r="AN166" s="23"/>
      <c r="AO166" s="23"/>
      <c r="AP166" s="23"/>
      <c r="AQ166" s="54"/>
      <c r="AR166" s="23"/>
      <c r="AS166" s="23"/>
      <c r="AT166" s="60"/>
      <c r="AV166" s="23"/>
      <c r="AX166" s="49"/>
      <c r="AY166" s="50"/>
      <c r="AZ166" s="50"/>
      <c r="BA166" s="24"/>
      <c r="BB166" s="24"/>
      <c r="BC166" s="22"/>
      <c r="BD166" s="23"/>
      <c r="BF166" s="48"/>
      <c r="BG166" s="54"/>
      <c r="BL166" s="53"/>
      <c r="BM166" s="53"/>
      <c r="BO166" s="53"/>
      <c r="BP166" s="53"/>
      <c r="BQ166" s="53"/>
      <c r="BR166" s="66"/>
      <c r="BS166" s="66"/>
      <c r="BW166" s="191"/>
      <c r="BX166" s="191"/>
      <c r="BY166" s="53"/>
      <c r="BZ166" s="53"/>
      <c r="CA166" s="53"/>
      <c r="CB166" s="53"/>
      <c r="CC166" s="53"/>
      <c r="CG166" s="53"/>
      <c r="CZ166" s="23"/>
      <c r="DD166" s="361"/>
      <c r="DM166" s="373"/>
    </row>
    <row r="167" spans="8:117" s="3" customFormat="1">
      <c r="H167" s="22"/>
      <c r="I167" s="24"/>
      <c r="J167" s="24"/>
      <c r="K167" s="24"/>
      <c r="L167" s="46"/>
      <c r="M167" s="41"/>
      <c r="N167" s="47"/>
      <c r="O167" s="24"/>
      <c r="P167" s="47"/>
      <c r="R167" s="60"/>
      <c r="S167" s="23"/>
      <c r="T167" s="60"/>
      <c r="U167" s="58"/>
      <c r="V167" s="48"/>
      <c r="W167" s="48"/>
      <c r="X167" s="23"/>
      <c r="Y167" s="23"/>
      <c r="Z167" s="23"/>
      <c r="AA167" s="60"/>
      <c r="AB167" s="55"/>
      <c r="AC167" s="23"/>
      <c r="AJ167" s="48"/>
      <c r="AK167" s="48"/>
      <c r="AL167" s="48"/>
      <c r="AM167" s="60"/>
      <c r="AN167" s="23"/>
      <c r="AO167" s="23"/>
      <c r="AP167" s="23"/>
      <c r="AQ167" s="54"/>
      <c r="AR167" s="23"/>
      <c r="AS167" s="23"/>
      <c r="AT167" s="60"/>
      <c r="AV167" s="23"/>
      <c r="AX167" s="49"/>
      <c r="AY167" s="50"/>
      <c r="AZ167" s="50"/>
      <c r="BA167" s="24"/>
      <c r="BB167" s="24"/>
      <c r="BC167" s="22"/>
      <c r="BD167" s="23"/>
      <c r="BF167" s="48"/>
      <c r="BG167" s="54"/>
      <c r="BL167" s="53"/>
      <c r="BM167" s="53"/>
      <c r="BO167" s="53"/>
      <c r="BP167" s="53"/>
      <c r="BQ167" s="53"/>
      <c r="BR167" s="66"/>
      <c r="BS167" s="66"/>
      <c r="BW167" s="191"/>
      <c r="BX167" s="191"/>
      <c r="BY167" s="53"/>
      <c r="BZ167" s="53"/>
      <c r="CA167" s="53"/>
      <c r="CB167" s="53"/>
      <c r="CC167" s="53"/>
      <c r="CG167" s="53"/>
      <c r="CZ167" s="23"/>
      <c r="DD167" s="361"/>
      <c r="DM167" s="373"/>
    </row>
    <row r="168" spans="8:117" s="3" customFormat="1">
      <c r="H168" s="22"/>
      <c r="I168" s="24"/>
      <c r="J168" s="24"/>
      <c r="K168" s="24"/>
      <c r="L168" s="46"/>
      <c r="M168" s="41"/>
      <c r="N168" s="47"/>
      <c r="O168" s="24"/>
      <c r="P168" s="47"/>
      <c r="R168" s="60"/>
      <c r="S168" s="23"/>
      <c r="T168" s="60"/>
      <c r="U168" s="58"/>
      <c r="V168" s="48"/>
      <c r="W168" s="48"/>
      <c r="X168" s="23"/>
      <c r="Y168" s="23"/>
      <c r="Z168" s="23"/>
      <c r="AA168" s="60"/>
      <c r="AB168" s="55"/>
      <c r="AC168" s="23"/>
      <c r="AJ168" s="48"/>
      <c r="AK168" s="48"/>
      <c r="AL168" s="48"/>
      <c r="AM168" s="60"/>
      <c r="AN168" s="23"/>
      <c r="AO168" s="23"/>
      <c r="AP168" s="23"/>
      <c r="AQ168" s="54"/>
      <c r="AR168" s="23"/>
      <c r="AS168" s="23"/>
      <c r="AT168" s="60"/>
      <c r="AV168" s="23"/>
      <c r="AX168" s="49"/>
      <c r="AY168" s="50"/>
      <c r="AZ168" s="50"/>
      <c r="BA168" s="24"/>
      <c r="BB168" s="24"/>
      <c r="BC168" s="22"/>
      <c r="BD168" s="23"/>
      <c r="BF168" s="48"/>
      <c r="BG168" s="54"/>
      <c r="BL168" s="53"/>
      <c r="BM168" s="53"/>
      <c r="BO168" s="53"/>
      <c r="BP168" s="53"/>
      <c r="BQ168" s="53"/>
      <c r="BR168" s="66"/>
      <c r="BS168" s="66"/>
      <c r="BW168" s="191"/>
      <c r="BX168" s="191"/>
      <c r="BY168" s="53"/>
      <c r="BZ168" s="53"/>
      <c r="CA168" s="53"/>
      <c r="CB168" s="53"/>
      <c r="CC168" s="53"/>
      <c r="CG168" s="53"/>
      <c r="CZ168" s="23"/>
      <c r="DD168" s="361"/>
      <c r="DM168" s="373"/>
    </row>
    <row r="169" spans="8:117" s="3" customFormat="1">
      <c r="H169" s="22"/>
      <c r="I169" s="24"/>
      <c r="J169" s="24"/>
      <c r="K169" s="24"/>
      <c r="L169" s="46"/>
      <c r="M169" s="41"/>
      <c r="N169" s="47"/>
      <c r="O169" s="24"/>
      <c r="P169" s="47"/>
      <c r="R169" s="60"/>
      <c r="S169" s="23"/>
      <c r="T169" s="60"/>
      <c r="U169" s="58"/>
      <c r="V169" s="48"/>
      <c r="W169" s="48"/>
      <c r="X169" s="23"/>
      <c r="Y169" s="23"/>
      <c r="Z169" s="23"/>
      <c r="AA169" s="60"/>
      <c r="AB169" s="55"/>
      <c r="AC169" s="23"/>
      <c r="AJ169" s="48"/>
      <c r="AK169" s="48"/>
      <c r="AL169" s="48"/>
      <c r="AM169" s="60"/>
      <c r="AN169" s="23"/>
      <c r="AO169" s="23"/>
      <c r="AP169" s="23"/>
      <c r="AQ169" s="54"/>
      <c r="AR169" s="23"/>
      <c r="AS169" s="23"/>
      <c r="AT169" s="60"/>
      <c r="AV169" s="23"/>
      <c r="AX169" s="49"/>
      <c r="AY169" s="50"/>
      <c r="AZ169" s="50"/>
      <c r="BA169" s="24"/>
      <c r="BB169" s="24"/>
      <c r="BC169" s="22"/>
      <c r="BD169" s="23"/>
      <c r="BF169" s="48"/>
      <c r="BG169" s="54"/>
      <c r="BL169" s="53"/>
      <c r="BM169" s="53"/>
      <c r="BO169" s="53"/>
      <c r="BP169" s="53"/>
      <c r="BQ169" s="53"/>
      <c r="BR169" s="66"/>
      <c r="BS169" s="66"/>
      <c r="BW169" s="191"/>
      <c r="BX169" s="191"/>
      <c r="BY169" s="53"/>
      <c r="BZ169" s="53"/>
      <c r="CA169" s="53"/>
      <c r="CB169" s="53"/>
      <c r="CC169" s="53"/>
      <c r="CG169" s="53"/>
      <c r="CZ169" s="23"/>
      <c r="DD169" s="361"/>
      <c r="DM169" s="373"/>
    </row>
    <row r="170" spans="8:117" s="3" customFormat="1">
      <c r="H170" s="22"/>
      <c r="I170" s="24"/>
      <c r="J170" s="24"/>
      <c r="K170" s="24"/>
      <c r="L170" s="46"/>
      <c r="M170" s="41"/>
      <c r="N170" s="47"/>
      <c r="O170" s="24"/>
      <c r="P170" s="47"/>
      <c r="R170" s="60"/>
      <c r="S170" s="23"/>
      <c r="T170" s="60"/>
      <c r="U170" s="58"/>
      <c r="V170" s="48"/>
      <c r="W170" s="48"/>
      <c r="X170" s="23"/>
      <c r="Y170" s="23"/>
      <c r="Z170" s="23"/>
      <c r="AA170" s="60"/>
      <c r="AB170" s="55"/>
      <c r="AC170" s="23"/>
      <c r="AJ170" s="48"/>
      <c r="AK170" s="48"/>
      <c r="AL170" s="48"/>
      <c r="AM170" s="60"/>
      <c r="AN170" s="23"/>
      <c r="AO170" s="23"/>
      <c r="AP170" s="23"/>
      <c r="AQ170" s="54"/>
      <c r="AR170" s="23"/>
      <c r="AS170" s="23"/>
      <c r="AT170" s="60"/>
      <c r="AV170" s="23"/>
      <c r="AX170" s="49"/>
      <c r="AY170" s="50"/>
      <c r="AZ170" s="50"/>
      <c r="BA170" s="24"/>
      <c r="BB170" s="24"/>
      <c r="BC170" s="22"/>
      <c r="BD170" s="23"/>
      <c r="BF170" s="48"/>
      <c r="BG170" s="54"/>
      <c r="BL170" s="53"/>
      <c r="BM170" s="53"/>
      <c r="BO170" s="53"/>
      <c r="BP170" s="53"/>
      <c r="BQ170" s="53"/>
      <c r="BR170" s="66"/>
      <c r="BS170" s="66"/>
      <c r="BW170" s="191"/>
      <c r="BX170" s="191"/>
      <c r="BY170" s="53"/>
      <c r="BZ170" s="53"/>
      <c r="CA170" s="53"/>
      <c r="CB170" s="53"/>
      <c r="CC170" s="53"/>
      <c r="CG170" s="53"/>
      <c r="CZ170" s="23"/>
      <c r="DD170" s="361"/>
      <c r="DM170" s="373"/>
    </row>
    <row r="171" spans="8:117" s="3" customFormat="1">
      <c r="H171" s="22"/>
      <c r="I171" s="24"/>
      <c r="J171" s="24"/>
      <c r="K171" s="24"/>
      <c r="L171" s="46"/>
      <c r="M171" s="41"/>
      <c r="N171" s="47"/>
      <c r="O171" s="24"/>
      <c r="P171" s="47"/>
      <c r="R171" s="60"/>
      <c r="S171" s="23"/>
      <c r="T171" s="60"/>
      <c r="U171" s="58"/>
      <c r="V171" s="48"/>
      <c r="W171" s="48"/>
      <c r="X171" s="23"/>
      <c r="Y171" s="23"/>
      <c r="Z171" s="23"/>
      <c r="AA171" s="60"/>
      <c r="AB171" s="55"/>
      <c r="AC171" s="23"/>
      <c r="AJ171" s="48"/>
      <c r="AK171" s="48"/>
      <c r="AL171" s="48"/>
      <c r="AM171" s="60"/>
      <c r="AN171" s="23"/>
      <c r="AO171" s="23"/>
      <c r="AP171" s="23"/>
      <c r="AQ171" s="54"/>
      <c r="AR171" s="23"/>
      <c r="AS171" s="23"/>
      <c r="AT171" s="60"/>
      <c r="AV171" s="23"/>
      <c r="AX171" s="49"/>
      <c r="AY171" s="50"/>
      <c r="AZ171" s="50"/>
      <c r="BA171" s="24"/>
      <c r="BB171" s="24"/>
      <c r="BC171" s="22"/>
      <c r="BD171" s="23"/>
      <c r="BF171" s="48"/>
      <c r="BG171" s="54"/>
      <c r="BL171" s="53"/>
      <c r="BM171" s="53"/>
      <c r="BO171" s="53"/>
      <c r="BP171" s="53"/>
      <c r="BQ171" s="53"/>
      <c r="BR171" s="66"/>
      <c r="BS171" s="66"/>
      <c r="BW171" s="191"/>
      <c r="BX171" s="191"/>
      <c r="BY171" s="53"/>
      <c r="BZ171" s="53"/>
      <c r="CA171" s="53"/>
      <c r="CB171" s="53"/>
      <c r="CC171" s="53"/>
      <c r="CG171" s="53"/>
      <c r="CZ171" s="23"/>
      <c r="DD171" s="361"/>
      <c r="DM171" s="373"/>
    </row>
    <row r="172" spans="8:117" s="3" customFormat="1">
      <c r="H172" s="22"/>
      <c r="I172" s="24"/>
      <c r="J172" s="24"/>
      <c r="K172" s="24"/>
      <c r="L172" s="46"/>
      <c r="M172" s="41"/>
      <c r="N172" s="47"/>
      <c r="O172" s="24"/>
      <c r="P172" s="47"/>
      <c r="R172" s="60"/>
      <c r="S172" s="23"/>
      <c r="T172" s="60"/>
      <c r="U172" s="58"/>
      <c r="V172" s="48"/>
      <c r="W172" s="48"/>
      <c r="X172" s="23"/>
      <c r="Y172" s="23"/>
      <c r="Z172" s="23"/>
      <c r="AA172" s="60"/>
      <c r="AB172" s="55"/>
      <c r="AC172" s="23"/>
      <c r="AJ172" s="48"/>
      <c r="AK172" s="48"/>
      <c r="AL172" s="48"/>
      <c r="AM172" s="60"/>
      <c r="AN172" s="23"/>
      <c r="AO172" s="23"/>
      <c r="AP172" s="23"/>
      <c r="AQ172" s="54"/>
      <c r="AR172" s="23"/>
      <c r="AS172" s="23"/>
      <c r="AT172" s="60"/>
      <c r="AV172" s="23"/>
      <c r="AX172" s="49"/>
      <c r="AY172" s="50"/>
      <c r="AZ172" s="50"/>
      <c r="BA172" s="24"/>
      <c r="BB172" s="24"/>
      <c r="BC172" s="22"/>
      <c r="BD172" s="23"/>
      <c r="BF172" s="48"/>
      <c r="BG172" s="54"/>
      <c r="BL172" s="53"/>
      <c r="BM172" s="53"/>
      <c r="BO172" s="53"/>
      <c r="BP172" s="53"/>
      <c r="BQ172" s="53"/>
      <c r="BR172" s="66"/>
      <c r="BS172" s="66"/>
      <c r="BW172" s="191"/>
      <c r="BX172" s="191"/>
      <c r="BY172" s="53"/>
      <c r="BZ172" s="53"/>
      <c r="CA172" s="53"/>
      <c r="CB172" s="53"/>
      <c r="CC172" s="53"/>
      <c r="CG172" s="53"/>
      <c r="CZ172" s="23"/>
      <c r="DD172" s="361"/>
      <c r="DM172" s="373"/>
    </row>
    <row r="173" spans="8:117" s="3" customFormat="1">
      <c r="H173" s="22"/>
      <c r="I173" s="24"/>
      <c r="J173" s="24"/>
      <c r="K173" s="24"/>
      <c r="L173" s="46"/>
      <c r="M173" s="41"/>
      <c r="N173" s="47"/>
      <c r="O173" s="24"/>
      <c r="P173" s="47"/>
      <c r="R173" s="60"/>
      <c r="S173" s="23"/>
      <c r="T173" s="60"/>
      <c r="U173" s="58"/>
      <c r="V173" s="48"/>
      <c r="W173" s="48"/>
      <c r="X173" s="23"/>
      <c r="Y173" s="23"/>
      <c r="Z173" s="23"/>
      <c r="AA173" s="60"/>
      <c r="AB173" s="55"/>
      <c r="AC173" s="23"/>
      <c r="AJ173" s="48"/>
      <c r="AK173" s="48"/>
      <c r="AL173" s="48"/>
      <c r="AM173" s="60"/>
      <c r="AN173" s="23"/>
      <c r="AO173" s="23"/>
      <c r="AP173" s="23"/>
      <c r="AQ173" s="54"/>
      <c r="AR173" s="23"/>
      <c r="AS173" s="23"/>
      <c r="AT173" s="60"/>
      <c r="AV173" s="23"/>
      <c r="AX173" s="49"/>
      <c r="AY173" s="50"/>
      <c r="AZ173" s="50"/>
      <c r="BA173" s="24"/>
      <c r="BB173" s="24"/>
      <c r="BC173" s="22"/>
      <c r="BD173" s="23"/>
      <c r="BF173" s="48"/>
      <c r="BG173" s="54"/>
      <c r="BL173" s="53"/>
      <c r="BM173" s="53"/>
      <c r="BO173" s="53"/>
      <c r="BP173" s="53"/>
      <c r="BQ173" s="53"/>
      <c r="BR173" s="66"/>
      <c r="BS173" s="66"/>
      <c r="BW173" s="191"/>
      <c r="BX173" s="191"/>
      <c r="BY173" s="53"/>
      <c r="BZ173" s="53"/>
      <c r="CA173" s="53"/>
      <c r="CB173" s="53"/>
      <c r="CC173" s="53"/>
      <c r="CG173" s="53"/>
      <c r="CZ173" s="23"/>
      <c r="DD173" s="361"/>
      <c r="DM173" s="373"/>
    </row>
    <row r="174" spans="8:117" s="3" customFormat="1">
      <c r="H174" s="22"/>
      <c r="I174" s="24"/>
      <c r="J174" s="24"/>
      <c r="K174" s="24"/>
      <c r="L174" s="46"/>
      <c r="M174" s="41"/>
      <c r="N174" s="47"/>
      <c r="O174" s="24"/>
      <c r="P174" s="47"/>
      <c r="R174" s="60"/>
      <c r="S174" s="23"/>
      <c r="T174" s="60"/>
      <c r="U174" s="58"/>
      <c r="V174" s="48"/>
      <c r="W174" s="48"/>
      <c r="X174" s="23"/>
      <c r="Y174" s="23"/>
      <c r="Z174" s="23"/>
      <c r="AA174" s="60"/>
      <c r="AB174" s="55"/>
      <c r="AC174" s="23"/>
      <c r="AJ174" s="48"/>
      <c r="AK174" s="48"/>
      <c r="AL174" s="48"/>
      <c r="AM174" s="60"/>
      <c r="AN174" s="23"/>
      <c r="AO174" s="23"/>
      <c r="AP174" s="23"/>
      <c r="AQ174" s="54"/>
      <c r="AR174" s="23"/>
      <c r="AS174" s="23"/>
      <c r="AT174" s="60"/>
      <c r="AV174" s="23"/>
      <c r="AX174" s="49"/>
      <c r="AY174" s="50"/>
      <c r="AZ174" s="50"/>
      <c r="BA174" s="24"/>
      <c r="BB174" s="24"/>
      <c r="BC174" s="22"/>
      <c r="BD174" s="23"/>
      <c r="BF174" s="48"/>
      <c r="BG174" s="54"/>
      <c r="BL174" s="53"/>
      <c r="BM174" s="53"/>
      <c r="BO174" s="53"/>
      <c r="BP174" s="53"/>
      <c r="BQ174" s="53"/>
      <c r="BR174" s="66"/>
      <c r="BS174" s="66"/>
      <c r="BW174" s="191"/>
      <c r="BX174" s="191"/>
      <c r="BY174" s="53"/>
      <c r="BZ174" s="53"/>
      <c r="CA174" s="53"/>
      <c r="CB174" s="53"/>
      <c r="CC174" s="53"/>
      <c r="CG174" s="53"/>
      <c r="CZ174" s="23"/>
      <c r="DD174" s="361"/>
      <c r="DM174" s="373"/>
    </row>
    <row r="175" spans="8:117" s="3" customFormat="1">
      <c r="H175" s="22"/>
      <c r="I175" s="24"/>
      <c r="J175" s="24"/>
      <c r="K175" s="24"/>
      <c r="L175" s="46"/>
      <c r="M175" s="41"/>
      <c r="N175" s="47"/>
      <c r="O175" s="24"/>
      <c r="P175" s="47"/>
      <c r="R175" s="60"/>
      <c r="S175" s="23"/>
      <c r="T175" s="60"/>
      <c r="U175" s="58"/>
      <c r="V175" s="48"/>
      <c r="W175" s="48"/>
      <c r="X175" s="23"/>
      <c r="Y175" s="23"/>
      <c r="Z175" s="23"/>
      <c r="AA175" s="60"/>
      <c r="AB175" s="55"/>
      <c r="AC175" s="23"/>
      <c r="AJ175" s="48"/>
      <c r="AK175" s="48"/>
      <c r="AL175" s="48"/>
      <c r="AM175" s="60"/>
      <c r="AN175" s="23"/>
      <c r="AO175" s="23"/>
      <c r="AP175" s="23"/>
      <c r="AQ175" s="54"/>
      <c r="AR175" s="23"/>
      <c r="AS175" s="23"/>
      <c r="AT175" s="60"/>
      <c r="AV175" s="23"/>
      <c r="AX175" s="49"/>
      <c r="AY175" s="50"/>
      <c r="AZ175" s="50"/>
      <c r="BA175" s="24"/>
      <c r="BB175" s="24"/>
      <c r="BC175" s="22"/>
      <c r="BD175" s="23"/>
      <c r="BF175" s="48"/>
      <c r="BG175" s="54"/>
      <c r="BL175" s="53"/>
      <c r="BM175" s="53"/>
      <c r="BO175" s="53"/>
      <c r="BP175" s="53"/>
      <c r="BQ175" s="53"/>
      <c r="BR175" s="66"/>
      <c r="BS175" s="66"/>
      <c r="BW175" s="191"/>
      <c r="BX175" s="191"/>
      <c r="BY175" s="53"/>
      <c r="BZ175" s="53"/>
      <c r="CA175" s="53"/>
      <c r="CB175" s="53"/>
      <c r="CC175" s="53"/>
      <c r="CG175" s="53"/>
      <c r="CZ175" s="23"/>
      <c r="DD175" s="361"/>
      <c r="DM175" s="373"/>
    </row>
    <row r="176" spans="8:117" s="3" customFormat="1">
      <c r="H176" s="22"/>
      <c r="I176" s="24"/>
      <c r="J176" s="24"/>
      <c r="K176" s="24"/>
      <c r="L176" s="46"/>
      <c r="M176" s="41"/>
      <c r="N176" s="47"/>
      <c r="O176" s="24"/>
      <c r="P176" s="47"/>
      <c r="R176" s="60"/>
      <c r="S176" s="23"/>
      <c r="T176" s="60"/>
      <c r="U176" s="58"/>
      <c r="V176" s="48"/>
      <c r="W176" s="48"/>
      <c r="X176" s="23"/>
      <c r="Y176" s="23"/>
      <c r="Z176" s="23"/>
      <c r="AA176" s="60"/>
      <c r="AB176" s="55"/>
      <c r="AC176" s="23"/>
      <c r="AJ176" s="48"/>
      <c r="AK176" s="48"/>
      <c r="AL176" s="48"/>
      <c r="AM176" s="60"/>
      <c r="AN176" s="23"/>
      <c r="AO176" s="23"/>
      <c r="AP176" s="23"/>
      <c r="AQ176" s="54"/>
      <c r="AR176" s="23"/>
      <c r="AS176" s="23"/>
      <c r="AT176" s="60"/>
      <c r="AV176" s="23"/>
      <c r="AX176" s="49"/>
      <c r="AY176" s="50"/>
      <c r="AZ176" s="50"/>
      <c r="BA176" s="24"/>
      <c r="BB176" s="24"/>
      <c r="BC176" s="22"/>
      <c r="BD176" s="23"/>
      <c r="BF176" s="48"/>
      <c r="BG176" s="54"/>
      <c r="BL176" s="53"/>
      <c r="BM176" s="53"/>
      <c r="BO176" s="53"/>
      <c r="BP176" s="53"/>
      <c r="BQ176" s="53"/>
      <c r="BR176" s="66"/>
      <c r="BS176" s="66"/>
      <c r="BW176" s="191"/>
      <c r="BX176" s="191"/>
      <c r="BY176" s="53"/>
      <c r="BZ176" s="53"/>
      <c r="CA176" s="53"/>
      <c r="CB176" s="53"/>
      <c r="CC176" s="53"/>
      <c r="CG176" s="53"/>
      <c r="CZ176" s="23"/>
      <c r="DD176" s="361"/>
      <c r="DM176" s="373"/>
    </row>
    <row r="177" spans="8:117" s="3" customFormat="1">
      <c r="H177" s="22"/>
      <c r="I177" s="24"/>
      <c r="J177" s="24"/>
      <c r="K177" s="24"/>
      <c r="L177" s="46"/>
      <c r="M177" s="41"/>
      <c r="N177" s="47"/>
      <c r="O177" s="24"/>
      <c r="P177" s="47"/>
      <c r="R177" s="60"/>
      <c r="S177" s="23"/>
      <c r="T177" s="60"/>
      <c r="U177" s="58"/>
      <c r="V177" s="48"/>
      <c r="W177" s="48"/>
      <c r="X177" s="23"/>
      <c r="Y177" s="23"/>
      <c r="Z177" s="23"/>
      <c r="AA177" s="60"/>
      <c r="AB177" s="55"/>
      <c r="AC177" s="23"/>
      <c r="AJ177" s="48"/>
      <c r="AK177" s="48"/>
      <c r="AL177" s="48"/>
      <c r="AM177" s="60"/>
      <c r="AN177" s="23"/>
      <c r="AO177" s="23"/>
      <c r="AP177" s="23"/>
      <c r="AQ177" s="54"/>
      <c r="AR177" s="23"/>
      <c r="AS177" s="23"/>
      <c r="AT177" s="60"/>
      <c r="AV177" s="23"/>
      <c r="AX177" s="49"/>
      <c r="AY177" s="50"/>
      <c r="AZ177" s="50"/>
      <c r="BA177" s="24"/>
      <c r="BB177" s="24"/>
      <c r="BC177" s="22"/>
      <c r="BD177" s="23"/>
      <c r="BF177" s="48"/>
      <c r="BG177" s="54"/>
      <c r="BL177" s="53"/>
      <c r="BM177" s="53"/>
      <c r="BO177" s="53"/>
      <c r="BP177" s="53"/>
      <c r="BQ177" s="53"/>
      <c r="BR177" s="66"/>
      <c r="BS177" s="66"/>
      <c r="BW177" s="191"/>
      <c r="BX177" s="191"/>
      <c r="BY177" s="53"/>
      <c r="BZ177" s="53"/>
      <c r="CA177" s="53"/>
      <c r="CB177" s="53"/>
      <c r="CC177" s="53"/>
      <c r="CG177" s="53"/>
      <c r="CZ177" s="23"/>
      <c r="DD177" s="361"/>
      <c r="DM177" s="373"/>
    </row>
    <row r="178" spans="8:117" s="3" customFormat="1">
      <c r="H178" s="22"/>
      <c r="I178" s="24"/>
      <c r="J178" s="24"/>
      <c r="K178" s="24"/>
      <c r="L178" s="46"/>
      <c r="M178" s="41"/>
      <c r="N178" s="47"/>
      <c r="O178" s="24"/>
      <c r="P178" s="47"/>
      <c r="R178" s="60"/>
      <c r="S178" s="23"/>
      <c r="T178" s="60"/>
      <c r="U178" s="58"/>
      <c r="V178" s="48"/>
      <c r="W178" s="48"/>
      <c r="X178" s="23"/>
      <c r="Y178" s="23"/>
      <c r="Z178" s="23"/>
      <c r="AA178" s="60"/>
      <c r="AB178" s="55"/>
      <c r="AC178" s="23"/>
      <c r="AJ178" s="48"/>
      <c r="AK178" s="48"/>
      <c r="AL178" s="48"/>
      <c r="AM178" s="60"/>
      <c r="AN178" s="23"/>
      <c r="AO178" s="23"/>
      <c r="AP178" s="23"/>
      <c r="AQ178" s="54"/>
      <c r="AR178" s="23"/>
      <c r="AS178" s="23"/>
      <c r="AT178" s="60"/>
      <c r="AV178" s="23"/>
      <c r="AX178" s="49"/>
      <c r="AY178" s="50"/>
      <c r="AZ178" s="50"/>
      <c r="BA178" s="24"/>
      <c r="BB178" s="24"/>
      <c r="BC178" s="22"/>
      <c r="BD178" s="23"/>
      <c r="BF178" s="48"/>
      <c r="BG178" s="54"/>
      <c r="BL178" s="53"/>
      <c r="BM178" s="53"/>
      <c r="BO178" s="53"/>
      <c r="BP178" s="53"/>
      <c r="BQ178" s="53"/>
      <c r="BR178" s="66"/>
      <c r="BS178" s="66"/>
      <c r="BW178" s="191"/>
      <c r="BX178" s="191"/>
      <c r="BY178" s="53"/>
      <c r="BZ178" s="53"/>
      <c r="CA178" s="53"/>
      <c r="CB178" s="53"/>
      <c r="CC178" s="53"/>
      <c r="CG178" s="53"/>
      <c r="CZ178" s="23"/>
      <c r="DD178" s="361"/>
      <c r="DM178" s="373"/>
    </row>
    <row r="179" spans="8:117" s="3" customFormat="1">
      <c r="H179" s="22"/>
      <c r="I179" s="24"/>
      <c r="J179" s="24"/>
      <c r="K179" s="24"/>
      <c r="L179" s="46"/>
      <c r="M179" s="41"/>
      <c r="N179" s="47"/>
      <c r="O179" s="24"/>
      <c r="P179" s="47"/>
      <c r="R179" s="60"/>
      <c r="S179" s="23"/>
      <c r="T179" s="60"/>
      <c r="U179" s="58"/>
      <c r="V179" s="48"/>
      <c r="W179" s="48"/>
      <c r="X179" s="23"/>
      <c r="Y179" s="23"/>
      <c r="Z179" s="23"/>
      <c r="AA179" s="60"/>
      <c r="AB179" s="55"/>
      <c r="AC179" s="23"/>
      <c r="AJ179" s="48"/>
      <c r="AK179" s="48"/>
      <c r="AL179" s="48"/>
      <c r="AM179" s="60"/>
      <c r="AN179" s="23"/>
      <c r="AO179" s="23"/>
      <c r="AP179" s="23"/>
      <c r="AQ179" s="54"/>
      <c r="AR179" s="23"/>
      <c r="AS179" s="23"/>
      <c r="AT179" s="60"/>
      <c r="AV179" s="23"/>
      <c r="AX179" s="49"/>
      <c r="AY179" s="50"/>
      <c r="AZ179" s="50"/>
      <c r="BA179" s="24"/>
      <c r="BB179" s="24"/>
      <c r="BC179" s="22"/>
      <c r="BD179" s="23"/>
      <c r="BF179" s="48"/>
      <c r="BG179" s="54"/>
      <c r="BL179" s="53"/>
      <c r="BM179" s="53"/>
      <c r="BO179" s="53"/>
      <c r="BP179" s="53"/>
      <c r="BQ179" s="53"/>
      <c r="BR179" s="66"/>
      <c r="BS179" s="66"/>
      <c r="BW179" s="191"/>
      <c r="BX179" s="191"/>
      <c r="BY179" s="53"/>
      <c r="BZ179" s="53"/>
      <c r="CA179" s="53"/>
      <c r="CB179" s="53"/>
      <c r="CC179" s="53"/>
      <c r="CG179" s="53"/>
      <c r="CZ179" s="23"/>
      <c r="DD179" s="361"/>
      <c r="DM179" s="373"/>
    </row>
    <row r="180" spans="8:117" s="3" customFormat="1">
      <c r="H180" s="22"/>
      <c r="I180" s="24"/>
      <c r="J180" s="24"/>
      <c r="K180" s="24"/>
      <c r="L180" s="46"/>
      <c r="M180" s="41"/>
      <c r="N180" s="47"/>
      <c r="O180" s="24"/>
      <c r="P180" s="47"/>
      <c r="R180" s="60"/>
      <c r="S180" s="23"/>
      <c r="T180" s="60"/>
      <c r="U180" s="58"/>
      <c r="V180" s="48"/>
      <c r="W180" s="48"/>
      <c r="X180" s="23"/>
      <c r="Y180" s="23"/>
      <c r="Z180" s="23"/>
      <c r="AA180" s="60"/>
      <c r="AB180" s="55"/>
      <c r="AC180" s="23"/>
      <c r="AJ180" s="48"/>
      <c r="AK180" s="48"/>
      <c r="AL180" s="48"/>
      <c r="AM180" s="60"/>
      <c r="AN180" s="23"/>
      <c r="AO180" s="23"/>
      <c r="AP180" s="23"/>
      <c r="AQ180" s="54"/>
      <c r="AR180" s="23"/>
      <c r="AS180" s="23"/>
      <c r="AT180" s="60"/>
      <c r="AV180" s="23"/>
      <c r="AX180" s="49"/>
      <c r="AY180" s="50"/>
      <c r="AZ180" s="50"/>
      <c r="BA180" s="24"/>
      <c r="BB180" s="24"/>
      <c r="BC180" s="22"/>
      <c r="BD180" s="23"/>
      <c r="BF180" s="48"/>
      <c r="BG180" s="54"/>
      <c r="BL180" s="53"/>
      <c r="BM180" s="53"/>
      <c r="BO180" s="53"/>
      <c r="BP180" s="53"/>
      <c r="BQ180" s="53"/>
      <c r="BR180" s="66"/>
      <c r="BS180" s="66"/>
      <c r="BW180" s="191"/>
      <c r="BX180" s="191"/>
      <c r="BY180" s="53"/>
      <c r="BZ180" s="53"/>
      <c r="CA180" s="53"/>
      <c r="CB180" s="53"/>
      <c r="CC180" s="53"/>
      <c r="CG180" s="53"/>
      <c r="CZ180" s="23"/>
      <c r="DD180" s="361"/>
      <c r="DM180" s="373"/>
    </row>
    <row r="181" spans="8:117" s="3" customFormat="1">
      <c r="H181" s="22"/>
      <c r="I181" s="24"/>
      <c r="J181" s="24"/>
      <c r="K181" s="24"/>
      <c r="L181" s="46"/>
      <c r="M181" s="41"/>
      <c r="N181" s="47"/>
      <c r="O181" s="24"/>
      <c r="P181" s="47"/>
      <c r="R181" s="60"/>
      <c r="S181" s="23"/>
      <c r="T181" s="60"/>
      <c r="U181" s="58"/>
      <c r="V181" s="48"/>
      <c r="W181" s="48"/>
      <c r="X181" s="23"/>
      <c r="Y181" s="23"/>
      <c r="Z181" s="23"/>
      <c r="AA181" s="60"/>
      <c r="AB181" s="55"/>
      <c r="AC181" s="23"/>
      <c r="AJ181" s="48"/>
      <c r="AK181" s="48"/>
      <c r="AL181" s="48"/>
      <c r="AM181" s="60"/>
      <c r="AN181" s="23"/>
      <c r="AO181" s="23"/>
      <c r="AP181" s="23"/>
      <c r="AQ181" s="54"/>
      <c r="AR181" s="23"/>
      <c r="AS181" s="23"/>
      <c r="AT181" s="60"/>
      <c r="AV181" s="23"/>
      <c r="AX181" s="49"/>
      <c r="AY181" s="50"/>
      <c r="AZ181" s="50"/>
      <c r="BA181" s="24"/>
      <c r="BB181" s="24"/>
      <c r="BC181" s="22"/>
      <c r="BD181" s="23"/>
      <c r="BF181" s="48"/>
      <c r="BG181" s="54"/>
      <c r="BL181" s="53"/>
      <c r="BM181" s="53"/>
      <c r="BO181" s="53"/>
      <c r="BP181" s="53"/>
      <c r="BQ181" s="53"/>
      <c r="BR181" s="66"/>
      <c r="BS181" s="66"/>
      <c r="BW181" s="191"/>
      <c r="BX181" s="191"/>
      <c r="BY181" s="53"/>
      <c r="BZ181" s="53"/>
      <c r="CA181" s="53"/>
      <c r="CB181" s="53"/>
      <c r="CC181" s="53"/>
      <c r="CG181" s="53"/>
      <c r="CZ181" s="23"/>
      <c r="DD181" s="361"/>
      <c r="DM181" s="373"/>
    </row>
    <row r="182" spans="8:117" s="3" customFormat="1">
      <c r="H182" s="22"/>
      <c r="I182" s="24"/>
      <c r="J182" s="24"/>
      <c r="K182" s="24"/>
      <c r="L182" s="46"/>
      <c r="M182" s="41"/>
      <c r="N182" s="47"/>
      <c r="O182" s="24"/>
      <c r="P182" s="47"/>
      <c r="R182" s="60"/>
      <c r="S182" s="23"/>
      <c r="T182" s="60"/>
      <c r="U182" s="58"/>
      <c r="V182" s="48"/>
      <c r="W182" s="48"/>
      <c r="X182" s="23"/>
      <c r="Y182" s="23"/>
      <c r="Z182" s="23"/>
      <c r="AA182" s="60"/>
      <c r="AB182" s="55"/>
      <c r="AC182" s="23"/>
      <c r="AJ182" s="48"/>
      <c r="AK182" s="48"/>
      <c r="AL182" s="48"/>
      <c r="AM182" s="60"/>
      <c r="AN182" s="23"/>
      <c r="AO182" s="23"/>
      <c r="AP182" s="23"/>
      <c r="AQ182" s="54"/>
      <c r="AR182" s="23"/>
      <c r="AS182" s="23"/>
      <c r="AT182" s="60"/>
      <c r="AV182" s="23"/>
      <c r="AX182" s="49"/>
      <c r="AY182" s="50"/>
      <c r="AZ182" s="50"/>
      <c r="BA182" s="24"/>
      <c r="BB182" s="24"/>
      <c r="BC182" s="22"/>
      <c r="BD182" s="23"/>
      <c r="BF182" s="48"/>
      <c r="BG182" s="54"/>
      <c r="BL182" s="53"/>
      <c r="BM182" s="53"/>
      <c r="BO182" s="53"/>
      <c r="BP182" s="53"/>
      <c r="BQ182" s="53"/>
      <c r="BR182" s="66"/>
      <c r="BS182" s="66"/>
      <c r="BW182" s="191"/>
      <c r="BX182" s="191"/>
      <c r="BY182" s="53"/>
      <c r="BZ182" s="53"/>
      <c r="CA182" s="53"/>
      <c r="CB182" s="53"/>
      <c r="CC182" s="53"/>
      <c r="CG182" s="53"/>
      <c r="CZ182" s="23"/>
      <c r="DD182" s="361"/>
      <c r="DM182" s="373"/>
    </row>
    <row r="183" spans="8:117" s="3" customFormat="1">
      <c r="H183" s="22"/>
      <c r="I183" s="24"/>
      <c r="J183" s="24"/>
      <c r="K183" s="24"/>
      <c r="L183" s="46"/>
      <c r="M183" s="41"/>
      <c r="N183" s="47"/>
      <c r="O183" s="24"/>
      <c r="P183" s="47"/>
      <c r="R183" s="60"/>
      <c r="S183" s="23"/>
      <c r="T183" s="60"/>
      <c r="U183" s="58"/>
      <c r="V183" s="48"/>
      <c r="W183" s="48"/>
      <c r="X183" s="23"/>
      <c r="Y183" s="23"/>
      <c r="Z183" s="23"/>
      <c r="AA183" s="60"/>
      <c r="AB183" s="55"/>
      <c r="AC183" s="23"/>
      <c r="AJ183" s="48"/>
      <c r="AK183" s="48"/>
      <c r="AL183" s="48"/>
      <c r="AM183" s="60"/>
      <c r="AN183" s="23"/>
      <c r="AO183" s="23"/>
      <c r="AP183" s="23"/>
      <c r="AQ183" s="54"/>
      <c r="AR183" s="23"/>
      <c r="AS183" s="23"/>
      <c r="AT183" s="60"/>
      <c r="AV183" s="23"/>
      <c r="AX183" s="49"/>
      <c r="AY183" s="50"/>
      <c r="AZ183" s="50"/>
      <c r="BA183" s="24"/>
      <c r="BB183" s="24"/>
      <c r="BC183" s="22"/>
      <c r="BD183" s="23"/>
      <c r="BF183" s="48"/>
      <c r="BG183" s="54"/>
      <c r="BL183" s="53"/>
      <c r="BM183" s="53"/>
      <c r="BO183" s="53"/>
      <c r="BP183" s="53"/>
      <c r="BQ183" s="53"/>
      <c r="BR183" s="66"/>
      <c r="BS183" s="66"/>
      <c r="BW183" s="191"/>
      <c r="BX183" s="191"/>
      <c r="BY183" s="53"/>
      <c r="BZ183" s="53"/>
      <c r="CA183" s="53"/>
      <c r="CB183" s="53"/>
      <c r="CC183" s="53"/>
      <c r="CG183" s="53"/>
      <c r="CZ183" s="23"/>
      <c r="DD183" s="361"/>
      <c r="DM183" s="373"/>
    </row>
    <row r="184" spans="8:117" s="3" customFormat="1">
      <c r="H184" s="22"/>
      <c r="I184" s="24"/>
      <c r="J184" s="24"/>
      <c r="K184" s="24"/>
      <c r="L184" s="46"/>
      <c r="M184" s="41"/>
      <c r="N184" s="47"/>
      <c r="O184" s="24"/>
      <c r="P184" s="47"/>
      <c r="R184" s="60"/>
      <c r="S184" s="23"/>
      <c r="T184" s="60"/>
      <c r="U184" s="58"/>
      <c r="V184" s="48"/>
      <c r="W184" s="48"/>
      <c r="X184" s="23"/>
      <c r="Y184" s="23"/>
      <c r="Z184" s="23"/>
      <c r="AA184" s="60"/>
      <c r="AB184" s="55"/>
      <c r="AC184" s="23"/>
      <c r="AJ184" s="48"/>
      <c r="AK184" s="48"/>
      <c r="AL184" s="48"/>
      <c r="AM184" s="60"/>
      <c r="AN184" s="23"/>
      <c r="AO184" s="23"/>
      <c r="AP184" s="23"/>
      <c r="AQ184" s="54"/>
      <c r="AR184" s="23"/>
      <c r="AS184" s="23"/>
      <c r="AT184" s="60"/>
      <c r="AV184" s="23"/>
      <c r="AX184" s="49"/>
      <c r="AY184" s="50"/>
      <c r="AZ184" s="50"/>
      <c r="BA184" s="24"/>
      <c r="BB184" s="24"/>
      <c r="BC184" s="22"/>
      <c r="BD184" s="23"/>
      <c r="BF184" s="48"/>
      <c r="BG184" s="54"/>
      <c r="BL184" s="53"/>
      <c r="BM184" s="53"/>
      <c r="BO184" s="53"/>
      <c r="BP184" s="53"/>
      <c r="BQ184" s="53"/>
      <c r="BR184" s="66"/>
      <c r="BS184" s="66"/>
      <c r="BW184" s="191"/>
      <c r="BX184" s="191"/>
      <c r="BY184" s="53"/>
      <c r="BZ184" s="53"/>
      <c r="CA184" s="53"/>
      <c r="CB184" s="53"/>
      <c r="CC184" s="53"/>
      <c r="CG184" s="53"/>
      <c r="CZ184" s="23"/>
      <c r="DD184" s="361"/>
      <c r="DM184" s="373"/>
    </row>
    <row r="185" spans="8:117" s="3" customFormat="1">
      <c r="H185" s="22"/>
      <c r="I185" s="24"/>
      <c r="J185" s="24"/>
      <c r="K185" s="24"/>
      <c r="L185" s="46"/>
      <c r="M185" s="41"/>
      <c r="N185" s="47"/>
      <c r="O185" s="24"/>
      <c r="P185" s="47"/>
      <c r="R185" s="60"/>
      <c r="S185" s="23"/>
      <c r="T185" s="60"/>
      <c r="U185" s="58"/>
      <c r="V185" s="48"/>
      <c r="W185" s="48"/>
      <c r="X185" s="23"/>
      <c r="Y185" s="23"/>
      <c r="Z185" s="23"/>
      <c r="AA185" s="60"/>
      <c r="AB185" s="55"/>
      <c r="AC185" s="23"/>
      <c r="AJ185" s="48"/>
      <c r="AK185" s="48"/>
      <c r="AL185" s="48"/>
      <c r="AM185" s="60"/>
      <c r="AN185" s="23"/>
      <c r="AO185" s="23"/>
      <c r="AP185" s="23"/>
      <c r="AQ185" s="54"/>
      <c r="AR185" s="23"/>
      <c r="AS185" s="23"/>
      <c r="AT185" s="60"/>
      <c r="AV185" s="23"/>
      <c r="AX185" s="49"/>
      <c r="AY185" s="50"/>
      <c r="AZ185" s="50"/>
      <c r="BA185" s="24"/>
      <c r="BB185" s="24"/>
      <c r="BC185" s="22"/>
      <c r="BD185" s="23"/>
      <c r="BF185" s="48"/>
      <c r="BG185" s="54"/>
      <c r="BL185" s="53"/>
      <c r="BM185" s="53"/>
      <c r="BO185" s="53"/>
      <c r="BP185" s="53"/>
      <c r="BQ185" s="53"/>
      <c r="BR185" s="66"/>
      <c r="BS185" s="66"/>
      <c r="BW185" s="191"/>
      <c r="BX185" s="191"/>
      <c r="BY185" s="53"/>
      <c r="BZ185" s="53"/>
      <c r="CA185" s="53"/>
      <c r="CB185" s="53"/>
      <c r="CC185" s="53"/>
      <c r="CG185" s="53"/>
      <c r="CZ185" s="23"/>
      <c r="DD185" s="361"/>
      <c r="DM185" s="373"/>
    </row>
    <row r="186" spans="8:117" s="3" customFormat="1">
      <c r="H186" s="22"/>
      <c r="I186" s="24"/>
      <c r="J186" s="24"/>
      <c r="K186" s="24"/>
      <c r="L186" s="46"/>
      <c r="M186" s="41"/>
      <c r="N186" s="47"/>
      <c r="O186" s="24"/>
      <c r="P186" s="47"/>
      <c r="R186" s="60"/>
      <c r="S186" s="23"/>
      <c r="T186" s="60"/>
      <c r="U186" s="58"/>
      <c r="V186" s="48"/>
      <c r="W186" s="48"/>
      <c r="X186" s="23"/>
      <c r="Y186" s="23"/>
      <c r="Z186" s="23"/>
      <c r="AA186" s="60"/>
      <c r="AB186" s="55"/>
      <c r="AC186" s="23"/>
      <c r="AJ186" s="48"/>
      <c r="AK186" s="48"/>
      <c r="AL186" s="48"/>
      <c r="AM186" s="60"/>
      <c r="AN186" s="23"/>
      <c r="AO186" s="23"/>
      <c r="AP186" s="23"/>
      <c r="AQ186" s="54"/>
      <c r="AR186" s="23"/>
      <c r="AS186" s="23"/>
      <c r="AT186" s="60"/>
      <c r="AV186" s="23"/>
      <c r="AX186" s="49"/>
      <c r="AY186" s="50"/>
      <c r="AZ186" s="50"/>
      <c r="BA186" s="24"/>
      <c r="BB186" s="24"/>
      <c r="BC186" s="22"/>
      <c r="BD186" s="23"/>
      <c r="BF186" s="48"/>
      <c r="BG186" s="54"/>
      <c r="BL186" s="53"/>
      <c r="BM186" s="53"/>
      <c r="BO186" s="53"/>
      <c r="BP186" s="53"/>
      <c r="BQ186" s="53"/>
      <c r="BR186" s="66"/>
      <c r="BS186" s="66"/>
      <c r="BW186" s="191"/>
      <c r="BX186" s="191"/>
      <c r="BY186" s="53"/>
      <c r="BZ186" s="53"/>
      <c r="CA186" s="53"/>
      <c r="CB186" s="53"/>
      <c r="CC186" s="53"/>
      <c r="CG186" s="53"/>
      <c r="CZ186" s="23"/>
      <c r="DD186" s="361"/>
      <c r="DM186" s="373"/>
    </row>
    <row r="187" spans="8:117" s="3" customFormat="1">
      <c r="H187" s="22"/>
      <c r="I187" s="24"/>
      <c r="J187" s="24"/>
      <c r="K187" s="24"/>
      <c r="L187" s="46"/>
      <c r="M187" s="41"/>
      <c r="N187" s="47"/>
      <c r="O187" s="24"/>
      <c r="P187" s="47"/>
      <c r="R187" s="60"/>
      <c r="S187" s="23"/>
      <c r="T187" s="60"/>
      <c r="U187" s="58"/>
      <c r="V187" s="48"/>
      <c r="W187" s="48"/>
      <c r="X187" s="23"/>
      <c r="Y187" s="23"/>
      <c r="Z187" s="23"/>
      <c r="AA187" s="60"/>
      <c r="AB187" s="55"/>
      <c r="AC187" s="23"/>
      <c r="AJ187" s="48"/>
      <c r="AK187" s="48"/>
      <c r="AL187" s="48"/>
      <c r="AM187" s="60"/>
      <c r="AN187" s="23"/>
      <c r="AO187" s="23"/>
      <c r="AP187" s="23"/>
      <c r="AQ187" s="54"/>
      <c r="AR187" s="23"/>
      <c r="AS187" s="23"/>
      <c r="AT187" s="60"/>
      <c r="AV187" s="23"/>
      <c r="AX187" s="49"/>
      <c r="AY187" s="50"/>
      <c r="AZ187" s="50"/>
      <c r="BA187" s="24"/>
      <c r="BB187" s="24"/>
      <c r="BC187" s="22"/>
      <c r="BD187" s="23"/>
      <c r="BF187" s="48"/>
      <c r="BG187" s="54"/>
      <c r="BL187" s="53"/>
      <c r="BM187" s="53"/>
      <c r="BO187" s="53"/>
      <c r="BP187" s="53"/>
      <c r="BQ187" s="53"/>
      <c r="BR187" s="66"/>
      <c r="BS187" s="66"/>
      <c r="BW187" s="191"/>
      <c r="BX187" s="191"/>
      <c r="BY187" s="53"/>
      <c r="BZ187" s="53"/>
      <c r="CA187" s="53"/>
      <c r="CB187" s="53"/>
      <c r="CC187" s="53"/>
      <c r="CG187" s="53"/>
      <c r="CZ187" s="23"/>
      <c r="DD187" s="361"/>
      <c r="DM187" s="373"/>
    </row>
    <row r="188" spans="8:117" s="3" customFormat="1">
      <c r="H188" s="22"/>
      <c r="I188" s="24"/>
      <c r="J188" s="24"/>
      <c r="K188" s="24"/>
      <c r="L188" s="46"/>
      <c r="M188" s="41"/>
      <c r="N188" s="47"/>
      <c r="O188" s="24"/>
      <c r="P188" s="47"/>
      <c r="R188" s="60"/>
      <c r="S188" s="23"/>
      <c r="T188" s="60"/>
      <c r="U188" s="58"/>
      <c r="V188" s="48"/>
      <c r="W188" s="48"/>
      <c r="X188" s="23"/>
      <c r="Y188" s="23"/>
      <c r="Z188" s="23"/>
      <c r="AA188" s="60"/>
      <c r="AB188" s="55"/>
      <c r="AC188" s="23"/>
      <c r="AJ188" s="48"/>
      <c r="AK188" s="48"/>
      <c r="AL188" s="48"/>
      <c r="AM188" s="60"/>
      <c r="AN188" s="23"/>
      <c r="AO188" s="23"/>
      <c r="AP188" s="23"/>
      <c r="AQ188" s="54"/>
      <c r="AR188" s="23"/>
      <c r="AS188" s="23"/>
      <c r="AT188" s="60"/>
      <c r="AV188" s="23"/>
      <c r="AX188" s="49"/>
      <c r="AY188" s="50"/>
      <c r="AZ188" s="50"/>
      <c r="BA188" s="24"/>
      <c r="BB188" s="24"/>
      <c r="BC188" s="22"/>
      <c r="BD188" s="23"/>
      <c r="BF188" s="48"/>
      <c r="BG188" s="54"/>
      <c r="BL188" s="53"/>
      <c r="BM188" s="53"/>
      <c r="BO188" s="53"/>
      <c r="BP188" s="53"/>
      <c r="BQ188" s="53"/>
      <c r="BR188" s="66"/>
      <c r="BS188" s="66"/>
      <c r="BW188" s="191"/>
      <c r="BX188" s="191"/>
      <c r="BY188" s="53"/>
      <c r="BZ188" s="53"/>
      <c r="CA188" s="53"/>
      <c r="CB188" s="53"/>
      <c r="CC188" s="53"/>
      <c r="CG188" s="53"/>
      <c r="CZ188" s="23"/>
      <c r="DD188" s="361"/>
      <c r="DM188" s="373"/>
    </row>
    <row r="189" spans="8:117" s="3" customFormat="1">
      <c r="H189" s="22"/>
      <c r="I189" s="24"/>
      <c r="J189" s="24"/>
      <c r="K189" s="24"/>
      <c r="L189" s="46"/>
      <c r="M189" s="41"/>
      <c r="N189" s="47"/>
      <c r="O189" s="24"/>
      <c r="P189" s="47"/>
      <c r="R189" s="60"/>
      <c r="S189" s="23"/>
      <c r="T189" s="60"/>
      <c r="U189" s="58"/>
      <c r="V189" s="48"/>
      <c r="W189" s="48"/>
      <c r="X189" s="23"/>
      <c r="Y189" s="23"/>
      <c r="Z189" s="23"/>
      <c r="AA189" s="60"/>
      <c r="AB189" s="55"/>
      <c r="AC189" s="23"/>
      <c r="AJ189" s="48"/>
      <c r="AK189" s="48"/>
      <c r="AL189" s="48"/>
      <c r="AM189" s="60"/>
      <c r="AN189" s="23"/>
      <c r="AO189" s="23"/>
      <c r="AP189" s="23"/>
      <c r="AQ189" s="54"/>
      <c r="AR189" s="23"/>
      <c r="AS189" s="23"/>
      <c r="AT189" s="60"/>
      <c r="AV189" s="23"/>
      <c r="AX189" s="49"/>
      <c r="AY189" s="50"/>
      <c r="AZ189" s="50"/>
      <c r="BA189" s="24"/>
      <c r="BB189" s="24"/>
      <c r="BC189" s="22"/>
      <c r="BD189" s="23"/>
      <c r="BF189" s="48"/>
      <c r="BG189" s="54"/>
      <c r="BL189" s="53"/>
      <c r="BM189" s="53"/>
      <c r="BO189" s="53"/>
      <c r="BP189" s="53"/>
      <c r="BQ189" s="53"/>
      <c r="BR189" s="66"/>
      <c r="BS189" s="66"/>
      <c r="BW189" s="191"/>
      <c r="BX189" s="191"/>
      <c r="BY189" s="53"/>
      <c r="BZ189" s="53"/>
      <c r="CA189" s="53"/>
      <c r="CB189" s="53"/>
      <c r="CC189" s="53"/>
      <c r="CG189" s="53"/>
      <c r="CZ189" s="23"/>
      <c r="DD189" s="361"/>
      <c r="DM189" s="373"/>
    </row>
    <row r="190" spans="8:117" s="3" customFormat="1">
      <c r="H190" s="22"/>
      <c r="I190" s="24"/>
      <c r="J190" s="24"/>
      <c r="K190" s="24"/>
      <c r="L190" s="46"/>
      <c r="M190" s="41"/>
      <c r="N190" s="47"/>
      <c r="O190" s="24"/>
      <c r="P190" s="47"/>
      <c r="R190" s="60"/>
      <c r="S190" s="23"/>
      <c r="T190" s="60"/>
      <c r="U190" s="58"/>
      <c r="V190" s="48"/>
      <c r="W190" s="48"/>
      <c r="X190" s="23"/>
      <c r="Y190" s="23"/>
      <c r="Z190" s="23"/>
      <c r="AA190" s="60"/>
      <c r="AB190" s="55"/>
      <c r="AC190" s="23"/>
      <c r="AJ190" s="48"/>
      <c r="AK190" s="48"/>
      <c r="AL190" s="48"/>
      <c r="AM190" s="60"/>
      <c r="AN190" s="23"/>
      <c r="AO190" s="23"/>
      <c r="AP190" s="23"/>
      <c r="AQ190" s="54"/>
      <c r="AR190" s="23"/>
      <c r="AS190" s="23"/>
      <c r="AT190" s="60"/>
      <c r="AV190" s="23"/>
      <c r="AX190" s="49"/>
      <c r="AY190" s="50"/>
      <c r="AZ190" s="50"/>
      <c r="BA190" s="24"/>
      <c r="BB190" s="24"/>
      <c r="BC190" s="22"/>
      <c r="BD190" s="23"/>
      <c r="BF190" s="48"/>
      <c r="BG190" s="54"/>
      <c r="BL190" s="53"/>
      <c r="BM190" s="53"/>
      <c r="BO190" s="53"/>
      <c r="BP190" s="53"/>
      <c r="BQ190" s="53"/>
      <c r="BR190" s="66"/>
      <c r="BS190" s="66"/>
      <c r="BW190" s="191"/>
      <c r="BX190" s="191"/>
      <c r="BY190" s="53"/>
      <c r="BZ190" s="53"/>
      <c r="CA190" s="53"/>
      <c r="CB190" s="53"/>
      <c r="CC190" s="53"/>
      <c r="CG190" s="53"/>
      <c r="CZ190" s="23"/>
      <c r="DD190" s="361"/>
      <c r="DM190" s="373"/>
    </row>
    <row r="191" spans="8:117" s="3" customFormat="1">
      <c r="H191" s="22"/>
      <c r="I191" s="24"/>
      <c r="J191" s="24"/>
      <c r="K191" s="24"/>
      <c r="L191" s="46"/>
      <c r="M191" s="41"/>
      <c r="N191" s="47"/>
      <c r="O191" s="24"/>
      <c r="P191" s="47"/>
      <c r="R191" s="60"/>
      <c r="S191" s="23"/>
      <c r="T191" s="60"/>
      <c r="U191" s="58"/>
      <c r="V191" s="48"/>
      <c r="W191" s="48"/>
      <c r="X191" s="23"/>
      <c r="Y191" s="23"/>
      <c r="Z191" s="23"/>
      <c r="AA191" s="60"/>
      <c r="AB191" s="55"/>
      <c r="AC191" s="23"/>
      <c r="AJ191" s="48"/>
      <c r="AK191" s="48"/>
      <c r="AL191" s="48"/>
      <c r="AM191" s="60"/>
      <c r="AN191" s="23"/>
      <c r="AO191" s="23"/>
      <c r="AP191" s="23"/>
      <c r="AQ191" s="54"/>
      <c r="AR191" s="23"/>
      <c r="AS191" s="23"/>
      <c r="AT191" s="60"/>
      <c r="AV191" s="23"/>
      <c r="AX191" s="49"/>
      <c r="AY191" s="50"/>
      <c r="AZ191" s="50"/>
      <c r="BA191" s="24"/>
      <c r="BB191" s="24"/>
      <c r="BC191" s="22"/>
      <c r="BD191" s="23"/>
      <c r="BF191" s="48"/>
      <c r="BG191" s="54"/>
      <c r="BL191" s="53"/>
      <c r="BM191" s="53"/>
      <c r="BO191" s="53"/>
      <c r="BP191" s="53"/>
      <c r="BQ191" s="53"/>
      <c r="BR191" s="66"/>
      <c r="BS191" s="66"/>
      <c r="BW191" s="191"/>
      <c r="BX191" s="191"/>
      <c r="BY191" s="53"/>
      <c r="BZ191" s="53"/>
      <c r="CA191" s="53"/>
      <c r="CB191" s="53"/>
      <c r="CC191" s="53"/>
      <c r="CG191" s="53"/>
      <c r="CZ191" s="23"/>
      <c r="DD191" s="361"/>
      <c r="DM191" s="373"/>
    </row>
    <row r="192" spans="8:117" s="3" customFormat="1">
      <c r="H192" s="22"/>
      <c r="I192" s="24"/>
      <c r="J192" s="24"/>
      <c r="K192" s="24"/>
      <c r="L192" s="46"/>
      <c r="M192" s="41"/>
      <c r="N192" s="47"/>
      <c r="O192" s="24"/>
      <c r="P192" s="47"/>
      <c r="R192" s="60"/>
      <c r="S192" s="23"/>
      <c r="T192" s="60"/>
      <c r="U192" s="58"/>
      <c r="V192" s="48"/>
      <c r="W192" s="48"/>
      <c r="X192" s="23"/>
      <c r="Y192" s="23"/>
      <c r="Z192" s="23"/>
      <c r="AA192" s="60"/>
      <c r="AB192" s="55"/>
      <c r="AC192" s="23"/>
      <c r="AJ192" s="48"/>
      <c r="AK192" s="48"/>
      <c r="AL192" s="48"/>
      <c r="AM192" s="60"/>
      <c r="AN192" s="23"/>
      <c r="AO192" s="23"/>
      <c r="AP192" s="23"/>
      <c r="AQ192" s="54"/>
      <c r="AR192" s="23"/>
      <c r="AS192" s="23"/>
      <c r="AT192" s="60"/>
      <c r="AV192" s="23"/>
      <c r="AX192" s="49"/>
      <c r="AY192" s="50"/>
      <c r="AZ192" s="50"/>
      <c r="BA192" s="24"/>
      <c r="BB192" s="24"/>
      <c r="BC192" s="22"/>
      <c r="BD192" s="23"/>
      <c r="BF192" s="48"/>
      <c r="BG192" s="54"/>
      <c r="BL192" s="53"/>
      <c r="BM192" s="53"/>
      <c r="BO192" s="53"/>
      <c r="BP192" s="53"/>
      <c r="BQ192" s="53"/>
      <c r="BR192" s="66"/>
      <c r="BS192" s="66"/>
      <c r="BW192" s="191"/>
      <c r="BX192" s="191"/>
      <c r="BY192" s="53"/>
      <c r="BZ192" s="53"/>
      <c r="CA192" s="53"/>
      <c r="CB192" s="53"/>
      <c r="CC192" s="53"/>
      <c r="CG192" s="53"/>
      <c r="CZ192" s="23"/>
      <c r="DD192" s="361"/>
      <c r="DM192" s="373"/>
    </row>
    <row r="193" spans="8:117" s="3" customFormat="1">
      <c r="H193" s="22"/>
      <c r="I193" s="24"/>
      <c r="J193" s="24"/>
      <c r="K193" s="24"/>
      <c r="L193" s="46"/>
      <c r="M193" s="41"/>
      <c r="N193" s="47"/>
      <c r="O193" s="24"/>
      <c r="P193" s="47"/>
      <c r="R193" s="60"/>
      <c r="S193" s="23"/>
      <c r="T193" s="60"/>
      <c r="U193" s="58"/>
      <c r="V193" s="48"/>
      <c r="W193" s="48"/>
      <c r="X193" s="23"/>
      <c r="Y193" s="23"/>
      <c r="Z193" s="23"/>
      <c r="AA193" s="60"/>
      <c r="AB193" s="55"/>
      <c r="AC193" s="23"/>
      <c r="AJ193" s="48"/>
      <c r="AK193" s="48"/>
      <c r="AL193" s="48"/>
      <c r="AM193" s="60"/>
      <c r="AN193" s="23"/>
      <c r="AO193" s="23"/>
      <c r="AP193" s="23"/>
      <c r="AQ193" s="54"/>
      <c r="AR193" s="23"/>
      <c r="AS193" s="23"/>
      <c r="AT193" s="60"/>
      <c r="AV193" s="23"/>
      <c r="AX193" s="49"/>
      <c r="AY193" s="50"/>
      <c r="AZ193" s="50"/>
      <c r="BA193" s="24"/>
      <c r="BB193" s="24"/>
      <c r="BC193" s="22"/>
      <c r="BD193" s="23"/>
      <c r="BF193" s="48"/>
      <c r="BG193" s="54"/>
      <c r="BL193" s="53"/>
      <c r="BM193" s="53"/>
      <c r="BO193" s="53"/>
      <c r="BP193" s="53"/>
      <c r="BQ193" s="53"/>
      <c r="BR193" s="66"/>
      <c r="BS193" s="66"/>
      <c r="BW193" s="191"/>
      <c r="BX193" s="191"/>
      <c r="BY193" s="53"/>
      <c r="BZ193" s="53"/>
      <c r="CA193" s="53"/>
      <c r="CB193" s="53"/>
      <c r="CC193" s="53"/>
      <c r="CG193" s="53"/>
      <c r="CZ193" s="23"/>
      <c r="DD193" s="361"/>
      <c r="DM193" s="373"/>
    </row>
    <row r="194" spans="8:117" s="3" customFormat="1">
      <c r="H194" s="22"/>
      <c r="I194" s="24"/>
      <c r="J194" s="24"/>
      <c r="K194" s="24"/>
      <c r="L194" s="46"/>
      <c r="M194" s="41"/>
      <c r="N194" s="47"/>
      <c r="O194" s="24"/>
      <c r="P194" s="47"/>
      <c r="R194" s="60"/>
      <c r="S194" s="23"/>
      <c r="T194" s="60"/>
      <c r="U194" s="58"/>
      <c r="V194" s="48"/>
      <c r="W194" s="48"/>
      <c r="X194" s="23"/>
      <c r="Y194" s="23"/>
      <c r="Z194" s="23"/>
      <c r="AA194" s="60"/>
      <c r="AB194" s="55"/>
      <c r="AC194" s="23"/>
      <c r="AJ194" s="48"/>
      <c r="AK194" s="48"/>
      <c r="AL194" s="48"/>
      <c r="AM194" s="60"/>
      <c r="AN194" s="23"/>
      <c r="AO194" s="23"/>
      <c r="AP194" s="23"/>
      <c r="AQ194" s="54"/>
      <c r="AR194" s="23"/>
      <c r="AS194" s="23"/>
      <c r="AT194" s="60"/>
      <c r="AV194" s="23"/>
      <c r="AX194" s="49"/>
      <c r="AY194" s="50"/>
      <c r="AZ194" s="50"/>
      <c r="BA194" s="24"/>
      <c r="BB194" s="24"/>
      <c r="BC194" s="22"/>
      <c r="BD194" s="23"/>
      <c r="BF194" s="48"/>
      <c r="BG194" s="54"/>
      <c r="BL194" s="53"/>
      <c r="BM194" s="53"/>
      <c r="BO194" s="53"/>
      <c r="BP194" s="53"/>
      <c r="BQ194" s="53"/>
      <c r="BR194" s="66"/>
      <c r="BS194" s="66"/>
      <c r="BW194" s="191"/>
      <c r="BX194" s="191"/>
      <c r="BY194" s="53"/>
      <c r="BZ194" s="53"/>
      <c r="CA194" s="53"/>
      <c r="CB194" s="53"/>
      <c r="CC194" s="53"/>
      <c r="CG194" s="53"/>
      <c r="CZ194" s="23"/>
      <c r="DD194" s="361"/>
      <c r="DM194" s="373"/>
    </row>
    <row r="1048568" spans="42:93">
      <c r="AP1048568" s="73"/>
      <c r="CO1048568" s="70"/>
    </row>
  </sheetData>
  <sortState ref="A2:AK75">
    <sortCondition ref="A2:A75"/>
    <sortCondition ref="B2:B75"/>
  </sortState>
  <mergeCells count="9">
    <mergeCell ref="A26:B26"/>
    <mergeCell ref="A1:C1"/>
    <mergeCell ref="DE1:DG1"/>
    <mergeCell ref="DC1:DD1"/>
    <mergeCell ref="DH1:DO1"/>
    <mergeCell ref="D1:Q1"/>
    <mergeCell ref="R1:AR1"/>
    <mergeCell ref="AS1:BG1"/>
    <mergeCell ref="BH1:DB1"/>
  </mergeCells>
  <hyperlinks>
    <hyperlink ref="DO3" r:id="rId1"/>
    <hyperlink ref="DO8" r:id="rId2"/>
    <hyperlink ref="DO4" r:id="rId3"/>
    <hyperlink ref="DO17" r:id="rId4"/>
  </hyperlinks>
  <printOptions verticalCentered="1" headings="1" gridLines="1"/>
  <pageMargins left="0.2" right="0" top="0.75" bottom="0.75" header="0.3" footer="0.3"/>
  <pageSetup paperSize="3" scale="61" fitToWidth="0" orientation="landscape" horizontalDpi="4294967293" verticalDpi="300"/>
  <headerFooter>
    <oddHeader>&amp;RINFRASTRUCTURE_Gro-WA Component Report - Should be accompanied with MSWord Document</oddHeader>
    <oddFooter>&amp;L&amp;G&amp;C&amp;D  @ &amp;T&amp;RPage &amp;P / &amp;N</oddFooter>
  </headerFooter>
  <colBreaks count="1" manualBreakCount="1">
    <brk id="111" max="1048575" man="1"/>
  </colBreaks>
  <legacyDrawing r:id="rId5"/>
  <legacyDrawingHF r:id="rId6"/>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L165"/>
  <sheetViews>
    <sheetView zoomScale="80" zoomScaleNormal="80" zoomScalePageLayoutView="80" workbookViewId="0">
      <pane ySplit="3" topLeftCell="A4" activePane="bottomLeft" state="frozen"/>
      <selection pane="bottomLeft" activeCell="D12" sqref="D12"/>
    </sheetView>
  </sheetViews>
  <sheetFormatPr baseColWidth="10" defaultColWidth="29.1640625" defaultRowHeight="14" x14ac:dyDescent="0"/>
  <cols>
    <col min="1" max="1" width="13.1640625" style="15" customWidth="1"/>
    <col min="2" max="2" width="35.5" style="15" customWidth="1"/>
    <col min="3" max="10" width="12.33203125" style="15" customWidth="1"/>
    <col min="11" max="12" width="17" style="15" customWidth="1"/>
    <col min="13" max="16384" width="29.1640625" style="15"/>
  </cols>
  <sheetData>
    <row r="1" spans="1:12" ht="30">
      <c r="B1" s="644" t="s">
        <v>1646</v>
      </c>
      <c r="C1" s="644"/>
      <c r="D1" s="644"/>
      <c r="E1" s="644"/>
      <c r="F1" s="644"/>
      <c r="G1" s="644"/>
      <c r="H1" s="644"/>
      <c r="I1" s="644"/>
      <c r="J1" s="644"/>
      <c r="K1" s="644"/>
      <c r="L1" s="644"/>
    </row>
    <row r="2" spans="1:12">
      <c r="B2" s="641" t="s">
        <v>1647</v>
      </c>
      <c r="C2" s="643" t="s">
        <v>1648</v>
      </c>
      <c r="D2" s="643"/>
      <c r="E2" s="643"/>
      <c r="F2" s="643"/>
      <c r="G2" s="643"/>
      <c r="H2" s="643"/>
      <c r="I2" s="16"/>
      <c r="J2" s="16"/>
      <c r="K2" s="16"/>
      <c r="L2" s="16"/>
    </row>
    <row r="3" spans="1:12" ht="29" thickBot="1">
      <c r="A3" s="15" t="s">
        <v>7</v>
      </c>
      <c r="B3" s="642"/>
      <c r="C3" s="19" t="s">
        <v>1649</v>
      </c>
      <c r="D3" s="509" t="s">
        <v>3236</v>
      </c>
      <c r="E3" s="19" t="s">
        <v>1650</v>
      </c>
      <c r="F3" s="19" t="s">
        <v>1651</v>
      </c>
      <c r="G3" s="19" t="s">
        <v>1652</v>
      </c>
      <c r="H3" s="19" t="s">
        <v>1653</v>
      </c>
      <c r="I3" s="16" t="s">
        <v>1654</v>
      </c>
      <c r="J3" s="16" t="s">
        <v>1655</v>
      </c>
      <c r="K3" s="16" t="s">
        <v>1656</v>
      </c>
      <c r="L3" s="16" t="s">
        <v>1657</v>
      </c>
    </row>
    <row r="4" spans="1:12" ht="15" thickTop="1">
      <c r="A4" s="15" t="s">
        <v>1973</v>
      </c>
      <c r="B4" s="15" t="s">
        <v>1687</v>
      </c>
      <c r="C4" s="15">
        <v>57.65</v>
      </c>
      <c r="D4" s="15">
        <f>C4*4</f>
        <v>230.6</v>
      </c>
      <c r="E4" s="15">
        <v>87.25</v>
      </c>
      <c r="F4" s="15">
        <v>161.25</v>
      </c>
      <c r="G4" s="15">
        <v>1863.25</v>
      </c>
      <c r="H4" s="15">
        <v>5563.25</v>
      </c>
      <c r="I4" s="15">
        <v>1</v>
      </c>
      <c r="J4" s="15" t="s">
        <v>1662</v>
      </c>
      <c r="K4" s="17">
        <v>35431</v>
      </c>
      <c r="L4" s="15" t="s">
        <v>1688</v>
      </c>
    </row>
    <row r="5" spans="1:12">
      <c r="A5" s="15" t="s">
        <v>1973</v>
      </c>
      <c r="B5" s="27" t="s">
        <v>1729</v>
      </c>
      <c r="C5" s="27">
        <v>62.1</v>
      </c>
      <c r="D5" s="15">
        <f t="shared" ref="D5:D28" si="0">C5*4</f>
        <v>248.4</v>
      </c>
      <c r="E5" s="27">
        <v>87.7</v>
      </c>
      <c r="F5" s="27">
        <v>151.69999999999999</v>
      </c>
      <c r="G5" s="27">
        <v>1084.0999999999999</v>
      </c>
      <c r="H5" s="27">
        <v>2684.1</v>
      </c>
      <c r="I5" s="27">
        <v>1</v>
      </c>
      <c r="J5" s="27" t="s">
        <v>1662</v>
      </c>
      <c r="K5" s="45">
        <v>40179</v>
      </c>
      <c r="L5" s="27" t="s">
        <v>1730</v>
      </c>
    </row>
    <row r="6" spans="1:12">
      <c r="A6" s="15" t="s">
        <v>1973</v>
      </c>
      <c r="B6" s="15" t="s">
        <v>1751</v>
      </c>
      <c r="C6" s="15">
        <v>52.39</v>
      </c>
      <c r="D6" s="15">
        <f t="shared" si="0"/>
        <v>209.56</v>
      </c>
      <c r="E6" s="15">
        <v>87.31</v>
      </c>
      <c r="F6" s="15">
        <v>174.71</v>
      </c>
      <c r="G6" s="15">
        <v>2226.91</v>
      </c>
      <c r="H6" s="15">
        <v>6736.91</v>
      </c>
      <c r="I6" s="15">
        <v>1</v>
      </c>
      <c r="J6" s="15" t="s">
        <v>1662</v>
      </c>
      <c r="K6" s="17">
        <v>39814</v>
      </c>
      <c r="L6" s="15" t="s">
        <v>1752</v>
      </c>
    </row>
    <row r="7" spans="1:12">
      <c r="A7" s="15" t="s">
        <v>1973</v>
      </c>
      <c r="B7" s="15" t="s">
        <v>1769</v>
      </c>
      <c r="C7" s="15">
        <v>40.799999999999997</v>
      </c>
      <c r="D7" s="15">
        <f t="shared" si="0"/>
        <v>163.19999999999999</v>
      </c>
      <c r="E7" s="15">
        <v>62.56</v>
      </c>
      <c r="F7" s="15">
        <v>116.96</v>
      </c>
      <c r="G7" s="15">
        <v>875.36</v>
      </c>
      <c r="H7" s="15">
        <v>1674.36</v>
      </c>
      <c r="I7" s="15">
        <v>1</v>
      </c>
      <c r="J7" s="15" t="s">
        <v>1662</v>
      </c>
      <c r="K7" s="17">
        <v>38353</v>
      </c>
      <c r="L7" s="15" t="s">
        <v>1770</v>
      </c>
    </row>
    <row r="8" spans="1:12">
      <c r="A8" s="15" t="s">
        <v>1973</v>
      </c>
      <c r="B8" s="15" t="s">
        <v>1771</v>
      </c>
      <c r="C8" s="15">
        <v>74.180000000000007</v>
      </c>
      <c r="D8" s="15">
        <f t="shared" si="0"/>
        <v>296.72000000000003</v>
      </c>
      <c r="E8" s="15">
        <v>101.3</v>
      </c>
      <c r="F8" s="15">
        <v>169.1</v>
      </c>
      <c r="G8" s="15">
        <v>861.2</v>
      </c>
      <c r="H8" s="15">
        <v>1573.7</v>
      </c>
      <c r="I8" s="15">
        <v>1</v>
      </c>
      <c r="J8" s="15">
        <v>218.7</v>
      </c>
      <c r="K8" s="17">
        <v>37287</v>
      </c>
      <c r="L8" s="15" t="s">
        <v>1772</v>
      </c>
    </row>
    <row r="9" spans="1:12">
      <c r="A9" s="15" t="s">
        <v>1973</v>
      </c>
      <c r="B9" s="15" t="s">
        <v>1781</v>
      </c>
      <c r="C9" s="15">
        <v>80</v>
      </c>
      <c r="D9" s="15">
        <f t="shared" si="0"/>
        <v>320</v>
      </c>
      <c r="E9" s="15">
        <v>120</v>
      </c>
      <c r="F9" s="15">
        <v>220</v>
      </c>
      <c r="G9" s="15">
        <v>2520</v>
      </c>
      <c r="H9" s="15">
        <v>7520</v>
      </c>
      <c r="I9" s="15">
        <v>1</v>
      </c>
      <c r="J9" s="15" t="s">
        <v>1662</v>
      </c>
      <c r="K9" s="17">
        <v>37257</v>
      </c>
      <c r="L9" s="15" t="s">
        <v>1782</v>
      </c>
    </row>
    <row r="10" spans="1:12">
      <c r="A10" s="15" t="s">
        <v>1973</v>
      </c>
      <c r="B10" s="15" t="s">
        <v>1797</v>
      </c>
      <c r="C10" s="15">
        <v>30</v>
      </c>
      <c r="D10" s="15">
        <f t="shared" si="0"/>
        <v>120</v>
      </c>
      <c r="E10" s="15">
        <v>50</v>
      </c>
      <c r="F10" s="15">
        <v>100</v>
      </c>
      <c r="G10" s="15">
        <v>983.5</v>
      </c>
      <c r="H10" s="15">
        <v>2353.5</v>
      </c>
      <c r="I10" s="15">
        <v>1</v>
      </c>
      <c r="J10" s="15">
        <v>180</v>
      </c>
      <c r="K10" s="17">
        <v>35827</v>
      </c>
      <c r="L10" s="15" t="s">
        <v>1798</v>
      </c>
    </row>
    <row r="11" spans="1:12">
      <c r="A11" s="15" t="s">
        <v>1973</v>
      </c>
      <c r="B11" s="15" t="s">
        <v>1801</v>
      </c>
      <c r="C11" s="15">
        <v>136.1</v>
      </c>
      <c r="D11" s="15">
        <f t="shared" si="0"/>
        <v>544.4</v>
      </c>
      <c r="E11" s="15">
        <v>172.42</v>
      </c>
      <c r="F11" s="15">
        <v>263.22000000000003</v>
      </c>
      <c r="G11" s="15">
        <v>1717.62</v>
      </c>
      <c r="H11" s="15">
        <v>3087.62</v>
      </c>
      <c r="I11" s="15">
        <v>1</v>
      </c>
      <c r="J11" s="15" t="s">
        <v>1662</v>
      </c>
      <c r="K11" s="17">
        <v>40087</v>
      </c>
      <c r="L11" s="15" t="s">
        <v>1802</v>
      </c>
    </row>
    <row r="12" spans="1:12">
      <c r="A12" s="15" t="s">
        <v>1973</v>
      </c>
      <c r="B12" s="15" t="s">
        <v>1819</v>
      </c>
      <c r="C12" s="15">
        <v>64.2</v>
      </c>
      <c r="D12" s="15">
        <f t="shared" si="0"/>
        <v>256.8</v>
      </c>
      <c r="E12" s="15">
        <v>88.2</v>
      </c>
      <c r="F12" s="15">
        <v>148.19999999999999</v>
      </c>
      <c r="G12" s="15">
        <v>1528.2</v>
      </c>
      <c r="H12" s="15">
        <v>4528.2</v>
      </c>
      <c r="I12" s="15">
        <v>1</v>
      </c>
      <c r="J12" s="15" t="s">
        <v>1662</v>
      </c>
      <c r="K12" s="17">
        <v>36647</v>
      </c>
      <c r="L12" s="15" t="s">
        <v>1820</v>
      </c>
    </row>
    <row r="13" spans="1:12">
      <c r="A13" s="15" t="s">
        <v>1973</v>
      </c>
      <c r="B13" s="27" t="s">
        <v>1833</v>
      </c>
      <c r="C13" s="15">
        <v>89.65</v>
      </c>
      <c r="D13" s="15">
        <f t="shared" si="0"/>
        <v>358.6</v>
      </c>
      <c r="E13" s="15">
        <v>123.58</v>
      </c>
      <c r="F13" s="15">
        <v>199.78</v>
      </c>
      <c r="G13" s="15">
        <v>1952.38</v>
      </c>
      <c r="H13" s="15">
        <v>5762.38</v>
      </c>
      <c r="I13" s="15">
        <v>1</v>
      </c>
      <c r="J13" s="15" t="s">
        <v>1662</v>
      </c>
      <c r="K13" s="17">
        <v>39889</v>
      </c>
      <c r="L13" s="15" t="s">
        <v>1834</v>
      </c>
    </row>
    <row r="14" spans="1:12">
      <c r="A14" s="15" t="s">
        <v>1973</v>
      </c>
      <c r="B14" s="15" t="s">
        <v>1837</v>
      </c>
      <c r="C14" s="15">
        <v>77</v>
      </c>
      <c r="D14" s="15">
        <f t="shared" si="0"/>
        <v>308</v>
      </c>
      <c r="E14" s="15">
        <v>100.6</v>
      </c>
      <c r="F14" s="15">
        <v>159.6</v>
      </c>
      <c r="G14" s="15">
        <v>1303.25</v>
      </c>
      <c r="H14" s="15">
        <v>3403.25</v>
      </c>
      <c r="I14" s="15">
        <v>1</v>
      </c>
      <c r="J14" s="15" t="s">
        <v>1662</v>
      </c>
      <c r="K14" s="17">
        <v>39156</v>
      </c>
      <c r="L14" s="15" t="s">
        <v>1838</v>
      </c>
    </row>
    <row r="15" spans="1:12">
      <c r="A15" s="15" t="s">
        <v>1973</v>
      </c>
      <c r="B15" s="15" t="s">
        <v>1901</v>
      </c>
      <c r="C15" s="15">
        <v>39.6</v>
      </c>
      <c r="D15" s="15">
        <f t="shared" si="0"/>
        <v>158.4</v>
      </c>
      <c r="E15" s="15">
        <v>66</v>
      </c>
      <c r="F15" s="15">
        <v>132</v>
      </c>
      <c r="G15" s="15">
        <v>1173.5</v>
      </c>
      <c r="H15" s="15">
        <v>2593.5</v>
      </c>
      <c r="I15" s="15">
        <v>1</v>
      </c>
      <c r="J15" s="15" t="s">
        <v>1662</v>
      </c>
      <c r="K15" s="17">
        <v>39387</v>
      </c>
      <c r="L15" s="15" t="s">
        <v>1902</v>
      </c>
    </row>
    <row r="16" spans="1:12">
      <c r="A16" s="15" t="s">
        <v>1973</v>
      </c>
      <c r="B16" s="15" t="s">
        <v>1933</v>
      </c>
      <c r="C16" s="15" t="s">
        <v>1659</v>
      </c>
      <c r="D16" s="15">
        <f>J16</f>
        <v>336</v>
      </c>
      <c r="E16" s="15" t="s">
        <v>1659</v>
      </c>
      <c r="F16" s="15" t="s">
        <v>1659</v>
      </c>
      <c r="G16" s="15" t="s">
        <v>1659</v>
      </c>
      <c r="H16" s="15" t="s">
        <v>1659</v>
      </c>
      <c r="I16" s="15">
        <v>1</v>
      </c>
      <c r="J16" s="15">
        <v>336</v>
      </c>
      <c r="K16" s="17">
        <v>38473</v>
      </c>
      <c r="L16" s="15" t="s">
        <v>1934</v>
      </c>
    </row>
    <row r="17" spans="1:12">
      <c r="A17" s="15" t="s">
        <v>1973</v>
      </c>
      <c r="B17" s="15" t="s">
        <v>1943</v>
      </c>
      <c r="C17" s="15">
        <v>50</v>
      </c>
      <c r="D17" s="15">
        <f t="shared" si="0"/>
        <v>200</v>
      </c>
      <c r="E17" s="15">
        <v>70.08</v>
      </c>
      <c r="F17" s="15">
        <v>120.28</v>
      </c>
      <c r="G17" s="15">
        <v>882.88</v>
      </c>
      <c r="H17" s="15">
        <v>1768.88</v>
      </c>
      <c r="I17" s="15">
        <v>1</v>
      </c>
      <c r="J17" s="15">
        <v>185.21</v>
      </c>
      <c r="K17" s="17">
        <v>38991</v>
      </c>
      <c r="L17" s="15" t="s">
        <v>1944</v>
      </c>
    </row>
    <row r="18" spans="1:12">
      <c r="A18" s="15" t="s">
        <v>1973</v>
      </c>
      <c r="B18" s="15" t="s">
        <v>1949</v>
      </c>
      <c r="C18" s="15">
        <v>92.05</v>
      </c>
      <c r="D18" s="15">
        <f t="shared" si="0"/>
        <v>368.2</v>
      </c>
      <c r="E18" s="15">
        <v>116.69</v>
      </c>
      <c r="F18" s="15">
        <v>178.29</v>
      </c>
      <c r="G18" s="15">
        <v>1058.5899999999999</v>
      </c>
      <c r="H18" s="15">
        <v>2288.59</v>
      </c>
      <c r="I18" s="15">
        <v>1</v>
      </c>
      <c r="J18" s="15">
        <v>329.05</v>
      </c>
      <c r="K18" s="17">
        <v>39083</v>
      </c>
      <c r="L18" s="15" t="s">
        <v>1950</v>
      </c>
    </row>
    <row r="19" spans="1:12">
      <c r="A19" s="15" t="s">
        <v>1971</v>
      </c>
      <c r="B19" s="15" t="s">
        <v>1658</v>
      </c>
      <c r="C19" s="15" t="s">
        <v>1659</v>
      </c>
      <c r="D19" s="15">
        <f>J19</f>
        <v>390</v>
      </c>
      <c r="E19" s="15" t="s">
        <v>1659</v>
      </c>
      <c r="F19" s="15" t="s">
        <v>1659</v>
      </c>
      <c r="G19" s="15" t="s">
        <v>1659</v>
      </c>
      <c r="H19" s="15" t="s">
        <v>1659</v>
      </c>
      <c r="I19" s="15">
        <v>1</v>
      </c>
      <c r="J19" s="15">
        <v>390</v>
      </c>
      <c r="K19" s="17">
        <v>39722</v>
      </c>
      <c r="L19" s="15" t="s">
        <v>1660</v>
      </c>
    </row>
    <row r="20" spans="1:12">
      <c r="A20" s="15" t="s">
        <v>1971</v>
      </c>
      <c r="B20" s="15" t="s">
        <v>1693</v>
      </c>
      <c r="C20" s="15">
        <v>58.03</v>
      </c>
      <c r="D20" s="15">
        <f t="shared" si="0"/>
        <v>232.12</v>
      </c>
      <c r="E20" s="15">
        <v>78.64</v>
      </c>
      <c r="F20" s="15">
        <v>121.09</v>
      </c>
      <c r="G20" s="15">
        <v>633.83000000000004</v>
      </c>
      <c r="H20" s="15">
        <v>1616.33</v>
      </c>
      <c r="I20" s="15">
        <v>1</v>
      </c>
      <c r="J20" s="15" t="s">
        <v>1662</v>
      </c>
      <c r="K20" s="17">
        <v>40087</v>
      </c>
      <c r="L20" s="15" t="s">
        <v>1694</v>
      </c>
    </row>
    <row r="21" spans="1:12">
      <c r="A21" s="15" t="s">
        <v>1971</v>
      </c>
      <c r="B21" s="15" t="s">
        <v>1725</v>
      </c>
      <c r="C21" s="15">
        <v>57.42</v>
      </c>
      <c r="D21" s="15">
        <f t="shared" si="0"/>
        <v>229.68</v>
      </c>
      <c r="E21" s="15">
        <v>87.98</v>
      </c>
      <c r="F21" s="15">
        <v>164.38</v>
      </c>
      <c r="G21" s="18">
        <v>1252.78</v>
      </c>
      <c r="H21" s="18">
        <v>3552.78</v>
      </c>
      <c r="I21" s="15">
        <v>1</v>
      </c>
      <c r="J21" s="15" t="s">
        <v>1662</v>
      </c>
      <c r="K21" s="17">
        <v>38808</v>
      </c>
      <c r="L21" s="15" t="s">
        <v>1726</v>
      </c>
    </row>
    <row r="22" spans="1:12">
      <c r="A22" s="15" t="s">
        <v>1971</v>
      </c>
      <c r="B22" s="15" t="s">
        <v>1739</v>
      </c>
      <c r="C22" s="15">
        <v>80</v>
      </c>
      <c r="D22" s="15">
        <f t="shared" si="0"/>
        <v>320</v>
      </c>
      <c r="E22" s="15">
        <v>112</v>
      </c>
      <c r="F22" s="15">
        <v>192</v>
      </c>
      <c r="G22" s="15">
        <v>2032</v>
      </c>
      <c r="H22" s="15">
        <v>6032</v>
      </c>
      <c r="I22" s="15">
        <v>1</v>
      </c>
      <c r="J22" s="15">
        <v>242</v>
      </c>
      <c r="K22" s="17">
        <v>39722</v>
      </c>
      <c r="L22" s="15" t="s">
        <v>1740</v>
      </c>
    </row>
    <row r="23" spans="1:12">
      <c r="A23" s="15" t="s">
        <v>1971</v>
      </c>
      <c r="B23" s="27" t="s">
        <v>1829</v>
      </c>
      <c r="C23" s="15">
        <v>64</v>
      </c>
      <c r="D23" s="15">
        <f t="shared" si="0"/>
        <v>256</v>
      </c>
      <c r="E23" s="15">
        <v>96</v>
      </c>
      <c r="F23" s="15">
        <v>138</v>
      </c>
      <c r="G23" s="15">
        <v>1058</v>
      </c>
      <c r="H23" s="15">
        <v>3058</v>
      </c>
      <c r="I23" s="15">
        <v>1</v>
      </c>
      <c r="J23" s="15" t="s">
        <v>1662</v>
      </c>
      <c r="K23" s="17">
        <v>39873</v>
      </c>
      <c r="L23" s="15" t="s">
        <v>1830</v>
      </c>
    </row>
    <row r="24" spans="1:12">
      <c r="A24" s="15" t="s">
        <v>1971</v>
      </c>
      <c r="B24" s="27" t="s">
        <v>1831</v>
      </c>
      <c r="C24" s="15">
        <v>58.5</v>
      </c>
      <c r="D24" s="15">
        <f t="shared" si="0"/>
        <v>234</v>
      </c>
      <c r="E24" s="15">
        <v>76.900000000000006</v>
      </c>
      <c r="F24" s="15">
        <v>109.2</v>
      </c>
      <c r="G24" s="15">
        <v>537</v>
      </c>
      <c r="H24" s="15">
        <v>1467</v>
      </c>
      <c r="I24" s="15">
        <v>2</v>
      </c>
      <c r="J24" s="15" t="s">
        <v>1662</v>
      </c>
      <c r="K24" s="17">
        <v>39539</v>
      </c>
      <c r="L24" s="15" t="s">
        <v>1832</v>
      </c>
    </row>
    <row r="25" spans="1:12">
      <c r="A25" s="15" t="s">
        <v>1971</v>
      </c>
      <c r="B25" s="15" t="s">
        <v>1843</v>
      </c>
      <c r="C25" s="15">
        <v>58.8</v>
      </c>
      <c r="D25" s="15">
        <f t="shared" si="0"/>
        <v>235.2</v>
      </c>
      <c r="E25" s="15">
        <v>98</v>
      </c>
      <c r="F25" s="15">
        <v>196</v>
      </c>
      <c r="G25" s="15">
        <v>1213.4000000000001</v>
      </c>
      <c r="H25" s="15">
        <v>3413.4</v>
      </c>
      <c r="I25" s="15">
        <v>1</v>
      </c>
      <c r="J25" s="15" t="s">
        <v>1662</v>
      </c>
      <c r="K25" s="17">
        <v>37302</v>
      </c>
      <c r="L25" s="15" t="s">
        <v>1844</v>
      </c>
    </row>
    <row r="26" spans="1:12">
      <c r="A26" s="15" t="s">
        <v>1971</v>
      </c>
      <c r="B26" s="15" t="s">
        <v>1887</v>
      </c>
      <c r="C26" s="15">
        <v>93.6</v>
      </c>
      <c r="D26" s="15">
        <f t="shared" si="0"/>
        <v>374.4</v>
      </c>
      <c r="E26" s="15">
        <v>150.08000000000001</v>
      </c>
      <c r="F26" s="15">
        <v>291.27999999999997</v>
      </c>
      <c r="G26" s="15">
        <v>2162.88</v>
      </c>
      <c r="H26" s="15">
        <v>4922.88</v>
      </c>
      <c r="I26" s="15">
        <v>1</v>
      </c>
      <c r="J26" s="15" t="s">
        <v>1662</v>
      </c>
      <c r="K26" s="17">
        <v>39448</v>
      </c>
      <c r="L26" s="15" t="s">
        <v>1888</v>
      </c>
    </row>
    <row r="27" spans="1:12">
      <c r="A27" s="15" t="s">
        <v>1971</v>
      </c>
      <c r="B27" s="15" t="s">
        <v>1903</v>
      </c>
      <c r="C27" s="15">
        <v>105</v>
      </c>
      <c r="D27" s="15">
        <f t="shared" si="0"/>
        <v>420</v>
      </c>
      <c r="E27" s="15">
        <v>175</v>
      </c>
      <c r="F27" s="15">
        <v>350</v>
      </c>
      <c r="G27" s="15">
        <v>4375</v>
      </c>
      <c r="H27" s="15">
        <v>13125</v>
      </c>
      <c r="I27" s="15">
        <v>1</v>
      </c>
      <c r="J27" s="15" t="s">
        <v>1662</v>
      </c>
      <c r="K27" s="17">
        <v>39994</v>
      </c>
      <c r="L27" s="15" t="s">
        <v>1904</v>
      </c>
    </row>
    <row r="28" spans="1:12">
      <c r="A28" s="15" t="s">
        <v>1971</v>
      </c>
      <c r="B28" s="15" t="s">
        <v>1905</v>
      </c>
      <c r="C28" s="15">
        <v>96.2</v>
      </c>
      <c r="D28" s="15">
        <f t="shared" si="0"/>
        <v>384.8</v>
      </c>
      <c r="E28" s="15">
        <v>160.36000000000001</v>
      </c>
      <c r="F28" s="15">
        <v>320.76</v>
      </c>
      <c r="G28" s="15">
        <v>4009.96</v>
      </c>
      <c r="H28" s="15">
        <v>12029.96</v>
      </c>
      <c r="I28" s="15">
        <v>1</v>
      </c>
      <c r="J28" s="15">
        <v>355.64</v>
      </c>
      <c r="K28" s="17">
        <v>39814</v>
      </c>
      <c r="L28" s="15" t="s">
        <v>1906</v>
      </c>
    </row>
    <row r="29" spans="1:12">
      <c r="D29" s="15">
        <f>AVERAGE(D4:D28)</f>
        <v>287.8032</v>
      </c>
      <c r="K29" s="17"/>
    </row>
    <row r="30" spans="1:12">
      <c r="K30" s="17"/>
    </row>
    <row r="31" spans="1:12">
      <c r="K31" s="17"/>
    </row>
    <row r="32" spans="1:12">
      <c r="B32" s="15" t="s">
        <v>1661</v>
      </c>
      <c r="C32" s="15">
        <v>97.13</v>
      </c>
      <c r="D32" s="15">
        <f t="shared" ref="D32:D95" si="1">C32*4</f>
        <v>388.52</v>
      </c>
      <c r="E32" s="15">
        <v>155.29</v>
      </c>
      <c r="F32" s="15">
        <v>300.69</v>
      </c>
      <c r="G32" s="15">
        <v>2536.89</v>
      </c>
      <c r="H32" s="15">
        <v>7056.89</v>
      </c>
      <c r="I32" s="15">
        <v>1</v>
      </c>
      <c r="J32" s="15" t="s">
        <v>1662</v>
      </c>
      <c r="K32" s="17">
        <v>40179</v>
      </c>
      <c r="L32" s="15" t="s">
        <v>1663</v>
      </c>
    </row>
    <row r="33" spans="2:12">
      <c r="B33" s="15" t="s">
        <v>1664</v>
      </c>
      <c r="C33" s="15" t="s">
        <v>1659</v>
      </c>
      <c r="D33" s="15">
        <f>J33</f>
        <v>102</v>
      </c>
      <c r="E33" s="15" t="s">
        <v>1659</v>
      </c>
      <c r="F33" s="15" t="s">
        <v>1659</v>
      </c>
      <c r="G33" s="15" t="s">
        <v>1659</v>
      </c>
      <c r="H33" s="15" t="s">
        <v>1659</v>
      </c>
      <c r="J33" s="15">
        <v>102</v>
      </c>
      <c r="K33" s="17">
        <v>29684</v>
      </c>
      <c r="L33" s="15" t="s">
        <v>1665</v>
      </c>
    </row>
    <row r="34" spans="2:12">
      <c r="B34" s="15" t="s">
        <v>1666</v>
      </c>
      <c r="C34" s="15">
        <v>106.26</v>
      </c>
      <c r="D34" s="15">
        <f t="shared" si="1"/>
        <v>425.04</v>
      </c>
      <c r="E34" s="15">
        <v>140.5</v>
      </c>
      <c r="F34" s="15">
        <v>226.1</v>
      </c>
      <c r="G34" s="15">
        <v>2194.9</v>
      </c>
      <c r="H34" s="15">
        <v>6474.9</v>
      </c>
      <c r="I34" s="15">
        <v>1</v>
      </c>
      <c r="J34" s="15">
        <v>425.04</v>
      </c>
      <c r="K34" s="17">
        <v>36708</v>
      </c>
      <c r="L34" s="15" t="s">
        <v>1667</v>
      </c>
    </row>
    <row r="35" spans="2:12">
      <c r="B35" s="15" t="s">
        <v>1668</v>
      </c>
      <c r="C35" s="15">
        <v>72</v>
      </c>
      <c r="D35" s="15">
        <f t="shared" si="1"/>
        <v>288</v>
      </c>
      <c r="E35" s="15">
        <v>90.64</v>
      </c>
      <c r="F35" s="15">
        <v>137.24</v>
      </c>
      <c r="G35" s="15">
        <v>742.64</v>
      </c>
      <c r="H35" s="15">
        <v>2012.64</v>
      </c>
      <c r="I35" s="15">
        <v>1</v>
      </c>
      <c r="J35" s="15" t="s">
        <v>1662</v>
      </c>
      <c r="K35" s="17">
        <v>39814</v>
      </c>
      <c r="L35" s="15" t="s">
        <v>1669</v>
      </c>
    </row>
    <row r="36" spans="2:12">
      <c r="B36" s="15" t="s">
        <v>1670</v>
      </c>
      <c r="C36" s="15">
        <v>72.59</v>
      </c>
      <c r="D36" s="15">
        <f t="shared" si="1"/>
        <v>290.36</v>
      </c>
      <c r="E36" s="15">
        <v>99.29</v>
      </c>
      <c r="F36" s="15">
        <v>162.07</v>
      </c>
      <c r="G36" s="15">
        <v>1374.93</v>
      </c>
      <c r="H36" s="15">
        <v>3916.33</v>
      </c>
      <c r="I36" s="15">
        <v>2</v>
      </c>
      <c r="J36" s="15" t="s">
        <v>1662</v>
      </c>
      <c r="K36" s="17">
        <v>38869</v>
      </c>
      <c r="L36" s="15" t="s">
        <v>1671</v>
      </c>
    </row>
    <row r="37" spans="2:12">
      <c r="B37" s="15" t="s">
        <v>1672</v>
      </c>
      <c r="C37" s="15">
        <v>70.92</v>
      </c>
      <c r="D37" s="15">
        <f t="shared" si="1"/>
        <v>283.68</v>
      </c>
      <c r="E37" s="15">
        <v>89.93</v>
      </c>
      <c r="F37" s="15">
        <v>137.46</v>
      </c>
      <c r="G37" s="15">
        <v>810.02</v>
      </c>
      <c r="H37" s="15">
        <v>1980.72</v>
      </c>
      <c r="I37" s="15">
        <v>2</v>
      </c>
      <c r="J37" s="15" t="s">
        <v>1662</v>
      </c>
      <c r="K37" s="17">
        <v>40071</v>
      </c>
      <c r="L37" s="15" t="s">
        <v>1673</v>
      </c>
    </row>
    <row r="38" spans="2:12">
      <c r="B38" s="15" t="s">
        <v>1674</v>
      </c>
      <c r="C38" s="15">
        <v>61.12</v>
      </c>
      <c r="D38" s="15">
        <f t="shared" si="1"/>
        <v>244.48</v>
      </c>
      <c r="E38" s="15">
        <v>80.28</v>
      </c>
      <c r="F38" s="15">
        <v>128.19999999999999</v>
      </c>
      <c r="G38" s="15">
        <v>1190.46</v>
      </c>
      <c r="H38" s="15">
        <v>3468.26</v>
      </c>
      <c r="I38" s="15">
        <v>2</v>
      </c>
      <c r="J38" s="15" t="s">
        <v>1662</v>
      </c>
      <c r="K38" s="17">
        <v>38018</v>
      </c>
      <c r="L38" s="15" t="s">
        <v>1675</v>
      </c>
    </row>
    <row r="39" spans="2:12">
      <c r="B39" s="15" t="s">
        <v>1676</v>
      </c>
      <c r="C39" s="15">
        <v>83.62</v>
      </c>
      <c r="D39" s="15">
        <f t="shared" si="1"/>
        <v>334.48</v>
      </c>
      <c r="E39" s="15">
        <v>116.85</v>
      </c>
      <c r="F39" s="15">
        <v>197.39</v>
      </c>
      <c r="G39" s="15">
        <v>2035.04</v>
      </c>
      <c r="H39" s="15">
        <v>5960.52</v>
      </c>
      <c r="I39" s="15">
        <v>2</v>
      </c>
      <c r="J39" s="15" t="s">
        <v>1662</v>
      </c>
      <c r="K39" s="17">
        <v>38869</v>
      </c>
      <c r="L39" s="15" t="s">
        <v>1677</v>
      </c>
    </row>
    <row r="40" spans="2:12">
      <c r="B40" s="15" t="s">
        <v>1678</v>
      </c>
      <c r="C40" s="15">
        <v>102.58</v>
      </c>
      <c r="D40" s="15">
        <f t="shared" si="1"/>
        <v>410.32</v>
      </c>
      <c r="E40" s="15">
        <v>128.9</v>
      </c>
      <c r="F40" s="15">
        <v>194.71</v>
      </c>
      <c r="G40" s="15">
        <v>1566.88</v>
      </c>
      <c r="H40" s="15">
        <v>4242.18</v>
      </c>
      <c r="I40" s="15">
        <v>2</v>
      </c>
      <c r="J40" s="15" t="s">
        <v>1662</v>
      </c>
      <c r="K40" s="17">
        <v>39387</v>
      </c>
      <c r="L40" s="15" t="s">
        <v>1679</v>
      </c>
    </row>
    <row r="41" spans="2:12">
      <c r="B41" s="15" t="s">
        <v>1680</v>
      </c>
      <c r="C41" s="15">
        <v>102.39</v>
      </c>
      <c r="D41" s="15">
        <f t="shared" si="1"/>
        <v>409.56</v>
      </c>
      <c r="E41" s="15">
        <v>126.27</v>
      </c>
      <c r="F41" s="15">
        <v>185.97</v>
      </c>
      <c r="G41" s="15">
        <v>1559.07</v>
      </c>
      <c r="H41" s="15">
        <v>4544.07</v>
      </c>
      <c r="I41" s="15">
        <v>2</v>
      </c>
      <c r="J41" s="15" t="s">
        <v>1662</v>
      </c>
      <c r="K41" s="17">
        <v>39387</v>
      </c>
      <c r="L41" s="15" t="s">
        <v>1681</v>
      </c>
    </row>
    <row r="42" spans="2:12">
      <c r="B42" s="15" t="s">
        <v>1682</v>
      </c>
      <c r="C42" s="15">
        <v>68.989999999999995</v>
      </c>
      <c r="D42" s="15">
        <f t="shared" si="1"/>
        <v>275.95999999999998</v>
      </c>
      <c r="E42" s="15">
        <v>86.45</v>
      </c>
      <c r="F42" s="15">
        <v>150.01</v>
      </c>
      <c r="G42" s="15">
        <v>1476.71</v>
      </c>
      <c r="H42" s="15">
        <v>4256.21</v>
      </c>
      <c r="I42" s="15">
        <v>2</v>
      </c>
      <c r="J42" s="15" t="s">
        <v>1662</v>
      </c>
      <c r="K42" s="17">
        <v>39234</v>
      </c>
      <c r="L42" s="15" t="s">
        <v>1683</v>
      </c>
    </row>
    <row r="43" spans="2:12">
      <c r="B43" s="15" t="s">
        <v>1684</v>
      </c>
      <c r="C43" s="15">
        <v>82.17</v>
      </c>
      <c r="D43" s="15">
        <f t="shared" si="1"/>
        <v>328.68</v>
      </c>
      <c r="E43" s="15">
        <v>100.81</v>
      </c>
      <c r="F43" s="15">
        <v>147.41</v>
      </c>
      <c r="G43" s="15">
        <v>1164.7</v>
      </c>
      <c r="H43" s="15">
        <v>3332.8</v>
      </c>
      <c r="I43" s="15">
        <v>2</v>
      </c>
      <c r="J43" s="15" t="s">
        <v>1662</v>
      </c>
      <c r="K43" s="17">
        <v>38018</v>
      </c>
      <c r="L43" s="15" t="s">
        <v>1675</v>
      </c>
    </row>
    <row r="44" spans="2:12">
      <c r="B44" s="15" t="s">
        <v>1685</v>
      </c>
      <c r="C44" s="15">
        <v>57.65</v>
      </c>
      <c r="D44" s="15">
        <f t="shared" si="1"/>
        <v>230.6</v>
      </c>
      <c r="E44" s="15">
        <v>79.209999999999994</v>
      </c>
      <c r="F44" s="15">
        <v>131.59</v>
      </c>
      <c r="G44" s="15">
        <v>1257.3699999999999</v>
      </c>
      <c r="H44" s="15">
        <v>3689.37</v>
      </c>
      <c r="I44" s="15">
        <v>2</v>
      </c>
      <c r="J44" s="15" t="s">
        <v>1662</v>
      </c>
      <c r="K44" s="17">
        <v>39661</v>
      </c>
      <c r="L44" s="15" t="s">
        <v>1686</v>
      </c>
    </row>
    <row r="45" spans="2:12">
      <c r="B45" s="15" t="s">
        <v>1689</v>
      </c>
      <c r="C45" s="15">
        <v>28.35</v>
      </c>
      <c r="D45" s="15">
        <f t="shared" si="1"/>
        <v>113.4</v>
      </c>
      <c r="E45" s="15">
        <v>42.67</v>
      </c>
      <c r="F45" s="15">
        <v>78.47</v>
      </c>
      <c r="G45" s="15">
        <v>757.17</v>
      </c>
      <c r="H45" s="15">
        <v>2107.17</v>
      </c>
      <c r="I45" s="15">
        <v>1</v>
      </c>
      <c r="J45" s="15" t="s">
        <v>1662</v>
      </c>
      <c r="K45" s="17">
        <v>39448</v>
      </c>
      <c r="L45" s="15" t="s">
        <v>1690</v>
      </c>
    </row>
    <row r="46" spans="2:12">
      <c r="B46" s="15" t="s">
        <v>1691</v>
      </c>
      <c r="C46" s="15">
        <v>76.03</v>
      </c>
      <c r="D46" s="15">
        <f t="shared" si="1"/>
        <v>304.12</v>
      </c>
      <c r="E46" s="15">
        <v>104.03</v>
      </c>
      <c r="F46" s="15">
        <v>174.03</v>
      </c>
      <c r="G46" s="15">
        <v>1784.03</v>
      </c>
      <c r="H46" s="15">
        <v>5284.03</v>
      </c>
      <c r="I46" s="15">
        <v>1</v>
      </c>
      <c r="J46" s="15" t="s">
        <v>1662</v>
      </c>
      <c r="K46" s="17">
        <v>37653</v>
      </c>
      <c r="L46" s="15" t="s">
        <v>1692</v>
      </c>
    </row>
    <row r="47" spans="2:12">
      <c r="B47" s="15" t="s">
        <v>1695</v>
      </c>
      <c r="C47" s="15">
        <v>35.909999999999997</v>
      </c>
      <c r="D47" s="15">
        <f t="shared" si="1"/>
        <v>143.63999999999999</v>
      </c>
      <c r="E47" s="15">
        <v>51.91</v>
      </c>
      <c r="F47" s="15">
        <v>91.91</v>
      </c>
      <c r="G47" s="15">
        <v>942.31</v>
      </c>
      <c r="H47" s="15">
        <v>2702.31</v>
      </c>
      <c r="I47" s="15">
        <v>1</v>
      </c>
      <c r="J47" s="15">
        <v>194.93</v>
      </c>
      <c r="K47" s="17">
        <v>39995</v>
      </c>
      <c r="L47" s="15" t="s">
        <v>1696</v>
      </c>
    </row>
    <row r="48" spans="2:12">
      <c r="B48" s="15" t="s">
        <v>1697</v>
      </c>
      <c r="C48" s="15">
        <v>47.7</v>
      </c>
      <c r="D48" s="15">
        <f t="shared" si="1"/>
        <v>190.8</v>
      </c>
      <c r="E48" s="15">
        <v>69.86</v>
      </c>
      <c r="F48" s="15">
        <v>125.26</v>
      </c>
      <c r="G48" s="15">
        <v>837.06</v>
      </c>
      <c r="H48" s="15">
        <v>1863.06</v>
      </c>
      <c r="I48" s="15">
        <v>1</v>
      </c>
      <c r="J48" s="15" t="s">
        <v>1662</v>
      </c>
      <c r="K48" s="17">
        <v>39814</v>
      </c>
      <c r="L48" s="15" t="s">
        <v>1698</v>
      </c>
    </row>
    <row r="49" spans="2:12">
      <c r="B49" s="15" t="s">
        <v>1699</v>
      </c>
      <c r="C49" s="15">
        <v>65.989999999999995</v>
      </c>
      <c r="D49" s="15">
        <f t="shared" si="1"/>
        <v>263.95999999999998</v>
      </c>
      <c r="E49" s="15">
        <v>84.47</v>
      </c>
      <c r="F49" s="15">
        <v>130.66999999999999</v>
      </c>
      <c r="G49" s="15">
        <v>1193.27</v>
      </c>
      <c r="H49" s="15">
        <v>3329.27</v>
      </c>
      <c r="I49" s="15">
        <v>1</v>
      </c>
      <c r="J49" s="15" t="s">
        <v>1662</v>
      </c>
      <c r="K49" s="17">
        <v>39173</v>
      </c>
      <c r="L49" s="15" t="s">
        <v>1700</v>
      </c>
    </row>
    <row r="50" spans="2:12">
      <c r="B50" s="15" t="s">
        <v>1701</v>
      </c>
      <c r="C50" s="15">
        <v>58.5</v>
      </c>
      <c r="D50" s="15">
        <f t="shared" si="1"/>
        <v>234</v>
      </c>
      <c r="E50" s="15">
        <v>73.459999999999994</v>
      </c>
      <c r="F50" s="15">
        <v>110.86</v>
      </c>
      <c r="G50" s="15">
        <v>971.06</v>
      </c>
      <c r="H50" s="15">
        <v>2841.06</v>
      </c>
      <c r="I50" s="15">
        <v>1</v>
      </c>
      <c r="J50" s="15" t="s">
        <v>1662</v>
      </c>
      <c r="K50" s="17">
        <v>40087</v>
      </c>
      <c r="L50" s="15" t="s">
        <v>1702</v>
      </c>
    </row>
    <row r="51" spans="2:12">
      <c r="B51" s="15" t="s">
        <v>1703</v>
      </c>
      <c r="C51" s="15">
        <v>81.290000000000006</v>
      </c>
      <c r="D51" s="15">
        <f t="shared" si="1"/>
        <v>325.16000000000003</v>
      </c>
      <c r="E51" s="15">
        <v>112.09</v>
      </c>
      <c r="F51" s="15">
        <v>189.09</v>
      </c>
      <c r="G51" s="15">
        <v>1178.0899999999999</v>
      </c>
      <c r="H51" s="15">
        <v>3188.09</v>
      </c>
      <c r="I51" s="15">
        <v>1</v>
      </c>
      <c r="J51" s="15" t="s">
        <v>1662</v>
      </c>
      <c r="K51" s="17">
        <v>39630</v>
      </c>
      <c r="L51" s="15" t="s">
        <v>1704</v>
      </c>
    </row>
    <row r="52" spans="2:12">
      <c r="B52" s="15" t="s">
        <v>1705</v>
      </c>
      <c r="C52" s="15">
        <v>78.63</v>
      </c>
      <c r="D52" s="15">
        <f t="shared" si="1"/>
        <v>314.52</v>
      </c>
      <c r="E52" s="15">
        <v>107.67</v>
      </c>
      <c r="F52" s="15">
        <v>180.27</v>
      </c>
      <c r="G52" s="15">
        <v>1091.51</v>
      </c>
      <c r="H52" s="15">
        <v>2961.51</v>
      </c>
      <c r="I52" s="15">
        <v>1</v>
      </c>
      <c r="J52" s="15">
        <v>253.6</v>
      </c>
      <c r="K52" s="17">
        <v>39722</v>
      </c>
      <c r="L52" s="15" t="s">
        <v>1706</v>
      </c>
    </row>
    <row r="53" spans="2:12">
      <c r="B53" s="15" t="s">
        <v>1707</v>
      </c>
      <c r="C53" s="15">
        <v>31.2</v>
      </c>
      <c r="D53" s="15">
        <f t="shared" si="1"/>
        <v>124.8</v>
      </c>
      <c r="E53" s="15">
        <v>41.56</v>
      </c>
      <c r="F53" s="15">
        <v>67.459999999999994</v>
      </c>
      <c r="G53" s="15">
        <v>452.79</v>
      </c>
      <c r="H53" s="15">
        <v>1048.55</v>
      </c>
      <c r="I53" s="15">
        <v>2</v>
      </c>
      <c r="J53" s="15">
        <v>124.94</v>
      </c>
      <c r="K53" s="17">
        <v>39689</v>
      </c>
      <c r="L53" s="15" t="s">
        <v>1708</v>
      </c>
    </row>
    <row r="54" spans="2:12">
      <c r="B54" s="15" t="s">
        <v>1709</v>
      </c>
      <c r="C54" s="15">
        <v>39</v>
      </c>
      <c r="D54" s="15">
        <f t="shared" si="1"/>
        <v>156</v>
      </c>
      <c r="E54" s="15">
        <v>54.04</v>
      </c>
      <c r="F54" s="15">
        <v>91.64</v>
      </c>
      <c r="G54" s="15">
        <v>740.44</v>
      </c>
      <c r="H54" s="15">
        <v>1540.44</v>
      </c>
      <c r="I54" s="15">
        <v>1</v>
      </c>
      <c r="J54" s="15">
        <v>161</v>
      </c>
      <c r="K54" s="17">
        <v>38899</v>
      </c>
      <c r="L54" s="15" t="s">
        <v>1710</v>
      </c>
    </row>
    <row r="55" spans="2:12">
      <c r="B55" s="15" t="s">
        <v>1711</v>
      </c>
      <c r="C55" s="15">
        <v>52.05</v>
      </c>
      <c r="D55" s="15">
        <f t="shared" si="1"/>
        <v>208.2</v>
      </c>
      <c r="E55" s="15">
        <v>77.489999999999995</v>
      </c>
      <c r="F55" s="15">
        <v>141.09</v>
      </c>
      <c r="G55" s="15">
        <v>1417.69</v>
      </c>
      <c r="H55" s="15">
        <v>4107.6899999999996</v>
      </c>
      <c r="I55" s="15">
        <v>1</v>
      </c>
      <c r="J55" s="15" t="s">
        <v>1662</v>
      </c>
      <c r="K55" s="17">
        <v>35558</v>
      </c>
      <c r="L55" s="15" t="s">
        <v>1712</v>
      </c>
    </row>
    <row r="56" spans="2:12">
      <c r="B56" s="15" t="s">
        <v>1713</v>
      </c>
      <c r="C56" s="15">
        <v>85.44</v>
      </c>
      <c r="D56" s="15">
        <f t="shared" si="1"/>
        <v>341.76</v>
      </c>
      <c r="E56" s="15">
        <v>126.06</v>
      </c>
      <c r="F56" s="15">
        <v>211.51</v>
      </c>
      <c r="G56" s="15">
        <v>1689.59</v>
      </c>
      <c r="H56" s="15">
        <v>3045.76</v>
      </c>
      <c r="I56" s="15">
        <v>1</v>
      </c>
      <c r="J56" s="15">
        <v>1042.08</v>
      </c>
      <c r="K56" s="17">
        <v>38899</v>
      </c>
      <c r="L56" s="15" t="s">
        <v>1714</v>
      </c>
    </row>
    <row r="57" spans="2:12">
      <c r="B57" s="15" t="s">
        <v>1715</v>
      </c>
      <c r="C57" s="15">
        <v>75.510000000000005</v>
      </c>
      <c r="D57" s="15">
        <f t="shared" si="1"/>
        <v>302.04000000000002</v>
      </c>
      <c r="E57" s="15">
        <v>100.95</v>
      </c>
      <c r="F57" s="15">
        <v>164.55</v>
      </c>
      <c r="G57" s="15">
        <v>1399.85</v>
      </c>
      <c r="H57" s="15">
        <v>3593.85</v>
      </c>
      <c r="I57" s="15">
        <v>1</v>
      </c>
      <c r="J57" s="15" t="s">
        <v>1662</v>
      </c>
      <c r="K57" s="17">
        <v>39783</v>
      </c>
      <c r="L57" s="15" t="s">
        <v>1716</v>
      </c>
    </row>
    <row r="58" spans="2:12">
      <c r="B58" s="15" t="s">
        <v>1717</v>
      </c>
      <c r="C58" s="15">
        <v>72.92</v>
      </c>
      <c r="D58" s="15">
        <f t="shared" si="1"/>
        <v>291.68</v>
      </c>
      <c r="E58" s="15">
        <v>106.44</v>
      </c>
      <c r="F58" s="15">
        <v>185.84</v>
      </c>
      <c r="G58" s="15">
        <v>1286.44</v>
      </c>
      <c r="H58" s="15">
        <v>2595.44</v>
      </c>
      <c r="I58" s="15">
        <v>1</v>
      </c>
      <c r="J58" s="15">
        <v>457.96</v>
      </c>
      <c r="K58" s="17">
        <v>37987</v>
      </c>
      <c r="L58" s="15" t="s">
        <v>1718</v>
      </c>
    </row>
    <row r="59" spans="2:12">
      <c r="B59" s="15" t="s">
        <v>1719</v>
      </c>
      <c r="C59" s="15">
        <v>55.5</v>
      </c>
      <c r="D59" s="15">
        <f t="shared" si="1"/>
        <v>222</v>
      </c>
      <c r="E59" s="15">
        <v>85.5</v>
      </c>
      <c r="F59" s="15">
        <v>160.5</v>
      </c>
      <c r="G59" s="15">
        <v>1885.5</v>
      </c>
      <c r="H59" s="15">
        <v>5635.5</v>
      </c>
      <c r="I59" s="15">
        <v>1</v>
      </c>
      <c r="J59" s="15" t="s">
        <v>1662</v>
      </c>
      <c r="K59" s="17">
        <v>36170</v>
      </c>
      <c r="L59" s="15" t="s">
        <v>1720</v>
      </c>
    </row>
    <row r="60" spans="2:12">
      <c r="B60" s="15" t="s">
        <v>1721</v>
      </c>
      <c r="C60" s="15">
        <v>40.1</v>
      </c>
      <c r="D60" s="15">
        <f t="shared" si="1"/>
        <v>160.4</v>
      </c>
      <c r="E60" s="15">
        <v>62.5</v>
      </c>
      <c r="F60" s="15">
        <v>118.5</v>
      </c>
      <c r="G60" s="15">
        <v>1386</v>
      </c>
      <c r="H60" s="15">
        <v>4136</v>
      </c>
      <c r="I60" s="15">
        <v>1</v>
      </c>
      <c r="J60" s="15" t="s">
        <v>1662</v>
      </c>
      <c r="K60" s="17">
        <v>39934</v>
      </c>
      <c r="L60" s="15" t="s">
        <v>1722</v>
      </c>
    </row>
    <row r="61" spans="2:12" ht="28">
      <c r="B61" s="15" t="s">
        <v>1723</v>
      </c>
      <c r="C61" s="15">
        <v>128.80000000000001</v>
      </c>
      <c r="D61" s="15">
        <f t="shared" si="1"/>
        <v>515.20000000000005</v>
      </c>
      <c r="E61" s="15">
        <v>176.75</v>
      </c>
      <c r="F61" s="15">
        <v>239.75</v>
      </c>
      <c r="G61" s="15">
        <v>717.55</v>
      </c>
      <c r="H61" s="15">
        <v>1327.55</v>
      </c>
      <c r="J61" s="15">
        <v>644</v>
      </c>
      <c r="K61" s="17">
        <v>39539</v>
      </c>
      <c r="L61" s="15" t="s">
        <v>1724</v>
      </c>
    </row>
    <row r="62" spans="2:12">
      <c r="B62" s="15" t="s">
        <v>1727</v>
      </c>
      <c r="C62" s="15">
        <v>105.27</v>
      </c>
      <c r="D62" s="15">
        <f t="shared" si="1"/>
        <v>421.08</v>
      </c>
      <c r="E62" s="15">
        <v>134.07</v>
      </c>
      <c r="F62" s="15">
        <v>186.57</v>
      </c>
      <c r="G62" s="15">
        <v>1152.57</v>
      </c>
      <c r="H62" s="15">
        <v>3252.57</v>
      </c>
      <c r="I62" s="15">
        <v>1</v>
      </c>
      <c r="J62" s="15" t="s">
        <v>1662</v>
      </c>
      <c r="K62" s="17">
        <v>39948</v>
      </c>
      <c r="L62" s="15" t="s">
        <v>1728</v>
      </c>
    </row>
    <row r="63" spans="2:12">
      <c r="B63" s="15" t="s">
        <v>1731</v>
      </c>
      <c r="C63" s="15">
        <v>114.8</v>
      </c>
      <c r="D63" s="15">
        <f t="shared" si="1"/>
        <v>459.2</v>
      </c>
      <c r="E63" s="15">
        <v>180.4</v>
      </c>
      <c r="F63" s="15">
        <v>366.8</v>
      </c>
      <c r="G63" s="15">
        <v>4782.8</v>
      </c>
      <c r="H63" s="15">
        <v>14382.8</v>
      </c>
      <c r="I63" s="15">
        <v>1</v>
      </c>
      <c r="J63" s="15" t="s">
        <v>1662</v>
      </c>
      <c r="K63" s="17">
        <v>39356</v>
      </c>
      <c r="L63" s="15" t="s">
        <v>1732</v>
      </c>
    </row>
    <row r="64" spans="2:12">
      <c r="B64" s="15" t="s">
        <v>1733</v>
      </c>
      <c r="C64" s="15">
        <v>58</v>
      </c>
      <c r="D64" s="15">
        <f t="shared" si="1"/>
        <v>232</v>
      </c>
      <c r="E64" s="15">
        <v>79</v>
      </c>
      <c r="F64" s="15">
        <v>131.5</v>
      </c>
      <c r="G64" s="15">
        <v>1339</v>
      </c>
      <c r="H64" s="15">
        <v>3964</v>
      </c>
      <c r="I64" s="15">
        <v>1</v>
      </c>
      <c r="J64" s="15" t="s">
        <v>1662</v>
      </c>
      <c r="K64" s="17">
        <v>39173</v>
      </c>
      <c r="L64" s="15" t="s">
        <v>1734</v>
      </c>
    </row>
    <row r="65" spans="2:12">
      <c r="B65" s="15" t="s">
        <v>1735</v>
      </c>
      <c r="C65" s="15">
        <v>60.52</v>
      </c>
      <c r="D65" s="15">
        <f t="shared" si="1"/>
        <v>242.08</v>
      </c>
      <c r="E65" s="15">
        <v>79.88</v>
      </c>
      <c r="F65" s="15">
        <v>128.28</v>
      </c>
      <c r="G65" s="15">
        <v>1241.48</v>
      </c>
      <c r="H65" s="15">
        <v>3661.48</v>
      </c>
      <c r="I65" s="15">
        <v>1</v>
      </c>
      <c r="J65" s="15" t="s">
        <v>1662</v>
      </c>
      <c r="K65" s="17">
        <v>38442</v>
      </c>
      <c r="L65" s="15" t="s">
        <v>1736</v>
      </c>
    </row>
    <row r="66" spans="2:12">
      <c r="B66" s="15" t="s">
        <v>1737</v>
      </c>
      <c r="C66" s="15">
        <v>81</v>
      </c>
      <c r="D66" s="15">
        <f t="shared" si="1"/>
        <v>324</v>
      </c>
      <c r="E66" s="15">
        <v>107.4</v>
      </c>
      <c r="F66" s="15">
        <v>163.4</v>
      </c>
      <c r="G66" s="15">
        <v>770.4</v>
      </c>
      <c r="H66" s="15">
        <v>1970.4</v>
      </c>
      <c r="I66" s="15">
        <v>1</v>
      </c>
      <c r="J66" s="15">
        <v>313</v>
      </c>
      <c r="K66" s="17">
        <v>37786</v>
      </c>
      <c r="L66" s="15" t="s">
        <v>1738</v>
      </c>
    </row>
    <row r="67" spans="2:12">
      <c r="B67" s="15" t="s">
        <v>1741</v>
      </c>
      <c r="C67" s="15">
        <v>264.97000000000003</v>
      </c>
      <c r="D67" s="15">
        <f t="shared" si="1"/>
        <v>1059.8800000000001</v>
      </c>
      <c r="E67" s="15">
        <v>374.95</v>
      </c>
      <c r="F67" s="15">
        <v>649.9</v>
      </c>
      <c r="G67" s="15">
        <v>6973.75</v>
      </c>
      <c r="H67" s="15">
        <v>20721.25</v>
      </c>
      <c r="I67" s="15">
        <v>1</v>
      </c>
      <c r="J67" s="15" t="s">
        <v>1662</v>
      </c>
      <c r="K67" s="17">
        <v>38534</v>
      </c>
      <c r="L67" s="15" t="s">
        <v>1742</v>
      </c>
    </row>
    <row r="68" spans="2:12">
      <c r="B68" s="15" t="s">
        <v>1743</v>
      </c>
      <c r="C68" s="15">
        <v>65</v>
      </c>
      <c r="D68" s="15">
        <f t="shared" si="1"/>
        <v>260</v>
      </c>
      <c r="E68" s="15">
        <v>98.76</v>
      </c>
      <c r="F68" s="15">
        <v>183.16</v>
      </c>
      <c r="G68" s="15">
        <v>1918.56</v>
      </c>
      <c r="H68" s="15">
        <v>4038.56</v>
      </c>
      <c r="I68" s="15">
        <v>1</v>
      </c>
      <c r="J68" s="15" t="s">
        <v>1662</v>
      </c>
      <c r="K68" s="17">
        <v>40179</v>
      </c>
      <c r="L68" s="15" t="s">
        <v>1744</v>
      </c>
    </row>
    <row r="69" spans="2:12">
      <c r="B69" s="15" t="s">
        <v>1745</v>
      </c>
      <c r="C69" s="15">
        <v>69.44</v>
      </c>
      <c r="D69" s="15">
        <f t="shared" si="1"/>
        <v>277.76</v>
      </c>
      <c r="E69" s="15">
        <v>100.08</v>
      </c>
      <c r="F69" s="15">
        <v>176.68</v>
      </c>
      <c r="G69" s="15">
        <v>1266.48</v>
      </c>
      <c r="H69" s="15">
        <v>2834.48</v>
      </c>
      <c r="I69" s="15">
        <v>1</v>
      </c>
      <c r="J69" s="15">
        <v>275.49</v>
      </c>
      <c r="K69" s="17">
        <v>39722</v>
      </c>
      <c r="L69" s="15" t="s">
        <v>1746</v>
      </c>
    </row>
    <row r="70" spans="2:12">
      <c r="B70" s="15" t="s">
        <v>1747</v>
      </c>
      <c r="C70" s="15">
        <v>83.42</v>
      </c>
      <c r="D70" s="15">
        <f t="shared" si="1"/>
        <v>333.68</v>
      </c>
      <c r="E70" s="15">
        <v>109.5</v>
      </c>
      <c r="F70" s="15">
        <v>174.7</v>
      </c>
      <c r="G70" s="15">
        <v>1589.3</v>
      </c>
      <c r="H70" s="15">
        <v>3969.3</v>
      </c>
      <c r="I70" s="15">
        <v>1</v>
      </c>
      <c r="J70" s="15">
        <v>286.27999999999997</v>
      </c>
      <c r="K70" s="17">
        <v>40179</v>
      </c>
      <c r="L70" s="15" t="s">
        <v>1748</v>
      </c>
    </row>
    <row r="71" spans="2:12">
      <c r="B71" s="15" t="s">
        <v>1749</v>
      </c>
      <c r="C71" s="15">
        <v>40</v>
      </c>
      <c r="D71" s="15">
        <f t="shared" si="1"/>
        <v>160</v>
      </c>
      <c r="E71" s="15">
        <v>58</v>
      </c>
      <c r="F71" s="15">
        <v>103</v>
      </c>
      <c r="G71" s="15">
        <v>1138</v>
      </c>
      <c r="H71" s="15">
        <v>3388</v>
      </c>
      <c r="I71" s="15">
        <v>1</v>
      </c>
      <c r="J71" s="15" t="s">
        <v>1662</v>
      </c>
      <c r="K71" s="17">
        <v>35639</v>
      </c>
      <c r="L71" s="15" t="s">
        <v>1750</v>
      </c>
    </row>
    <row r="72" spans="2:12">
      <c r="B72" s="15" t="s">
        <v>1753</v>
      </c>
      <c r="C72" s="15">
        <v>35.06</v>
      </c>
      <c r="D72" s="15">
        <f t="shared" si="1"/>
        <v>140.24</v>
      </c>
      <c r="E72" s="15">
        <v>45.94</v>
      </c>
      <c r="F72" s="15">
        <v>73.14</v>
      </c>
      <c r="G72" s="15">
        <v>487.54</v>
      </c>
      <c r="H72" s="15">
        <v>1016.54</v>
      </c>
      <c r="I72" s="15">
        <v>1</v>
      </c>
      <c r="J72" s="15" t="s">
        <v>1662</v>
      </c>
      <c r="K72" s="17">
        <v>38899</v>
      </c>
      <c r="L72" s="15" t="s">
        <v>1754</v>
      </c>
    </row>
    <row r="73" spans="2:12">
      <c r="B73" s="15" t="s">
        <v>1755</v>
      </c>
      <c r="C73" s="15">
        <v>33</v>
      </c>
      <c r="D73" s="15">
        <f t="shared" si="1"/>
        <v>132</v>
      </c>
      <c r="E73" s="15">
        <v>55</v>
      </c>
      <c r="F73" s="15">
        <v>110</v>
      </c>
      <c r="G73" s="15">
        <v>1375</v>
      </c>
      <c r="H73" s="15">
        <v>4125</v>
      </c>
      <c r="I73" s="15">
        <v>1</v>
      </c>
      <c r="J73" s="15" t="s">
        <v>1662</v>
      </c>
      <c r="K73" s="17">
        <v>34425</v>
      </c>
      <c r="L73" s="15" t="s">
        <v>1756</v>
      </c>
    </row>
    <row r="74" spans="2:12">
      <c r="B74" s="15" t="s">
        <v>1757</v>
      </c>
      <c r="C74" s="15">
        <v>65.680000000000007</v>
      </c>
      <c r="D74" s="15">
        <f t="shared" si="1"/>
        <v>262.72000000000003</v>
      </c>
      <c r="E74" s="15">
        <v>79.92</v>
      </c>
      <c r="F74" s="15">
        <v>115.52</v>
      </c>
      <c r="G74" s="15">
        <v>934.32</v>
      </c>
      <c r="H74" s="15">
        <v>2714.32</v>
      </c>
      <c r="I74" s="15">
        <v>2</v>
      </c>
      <c r="J74" s="15" t="s">
        <v>1662</v>
      </c>
      <c r="K74" s="17">
        <v>34608</v>
      </c>
      <c r="L74" s="15" t="s">
        <v>1758</v>
      </c>
    </row>
    <row r="75" spans="2:12">
      <c r="B75" s="15" t="s">
        <v>1759</v>
      </c>
      <c r="C75" s="15">
        <v>67.3</v>
      </c>
      <c r="D75" s="15">
        <f t="shared" si="1"/>
        <v>269.2</v>
      </c>
      <c r="E75" s="15">
        <v>100.1</v>
      </c>
      <c r="F75" s="15">
        <v>171.1</v>
      </c>
      <c r="G75" s="15">
        <v>1414.1</v>
      </c>
      <c r="H75" s="15">
        <v>3141.1</v>
      </c>
      <c r="I75" s="15">
        <v>1</v>
      </c>
      <c r="J75" s="15" t="s">
        <v>1662</v>
      </c>
      <c r="K75" s="17">
        <v>39753</v>
      </c>
      <c r="L75" s="15" t="s">
        <v>1760</v>
      </c>
    </row>
    <row r="76" spans="2:12">
      <c r="B76" s="15" t="s">
        <v>1761</v>
      </c>
      <c r="C76" s="15">
        <v>61.48</v>
      </c>
      <c r="D76" s="15">
        <f t="shared" si="1"/>
        <v>245.92</v>
      </c>
      <c r="E76" s="15">
        <v>84.46</v>
      </c>
      <c r="F76" s="15">
        <v>132.11000000000001</v>
      </c>
      <c r="G76" s="15">
        <v>474.62</v>
      </c>
      <c r="H76" s="15">
        <v>1029.6199999999999</v>
      </c>
      <c r="I76" s="15">
        <v>1</v>
      </c>
      <c r="J76" s="15">
        <v>244.8</v>
      </c>
      <c r="K76" s="17">
        <v>36892</v>
      </c>
      <c r="L76" s="15" t="s">
        <v>1762</v>
      </c>
    </row>
    <row r="77" spans="2:12">
      <c r="B77" s="15" t="s">
        <v>1763</v>
      </c>
      <c r="C77" s="15">
        <v>20</v>
      </c>
      <c r="D77" s="15">
        <f t="shared" si="1"/>
        <v>80</v>
      </c>
      <c r="E77" s="15">
        <v>24</v>
      </c>
      <c r="F77" s="15">
        <v>34</v>
      </c>
      <c r="G77" s="15">
        <v>264</v>
      </c>
      <c r="H77" s="15">
        <v>764</v>
      </c>
      <c r="J77" s="15" t="s">
        <v>1662</v>
      </c>
      <c r="K77" s="17">
        <v>35062</v>
      </c>
      <c r="L77" s="15" t="s">
        <v>1764</v>
      </c>
    </row>
    <row r="78" spans="2:12">
      <c r="B78" s="15" t="s">
        <v>1765</v>
      </c>
      <c r="C78" s="15">
        <v>77.8</v>
      </c>
      <c r="D78" s="15">
        <f t="shared" si="1"/>
        <v>311.2</v>
      </c>
      <c r="E78" s="15">
        <v>96.88</v>
      </c>
      <c r="F78" s="15">
        <v>146.38</v>
      </c>
      <c r="G78" s="15">
        <v>1284.8800000000001</v>
      </c>
      <c r="H78" s="15">
        <v>3759.88</v>
      </c>
      <c r="I78" s="15">
        <v>1</v>
      </c>
      <c r="J78" s="15">
        <v>366.25</v>
      </c>
      <c r="K78" s="17">
        <v>40179</v>
      </c>
      <c r="L78" s="15" t="s">
        <v>1766</v>
      </c>
    </row>
    <row r="79" spans="2:12">
      <c r="B79" s="15" t="s">
        <v>1767</v>
      </c>
      <c r="C79" s="15">
        <v>44.21</v>
      </c>
      <c r="D79" s="15">
        <f t="shared" si="1"/>
        <v>176.84</v>
      </c>
      <c r="E79" s="15">
        <v>64.69</v>
      </c>
      <c r="F79" s="15">
        <v>115.89</v>
      </c>
      <c r="G79" s="15">
        <v>666.69</v>
      </c>
      <c r="H79" s="15">
        <v>1646.69</v>
      </c>
      <c r="I79" s="15">
        <v>1</v>
      </c>
      <c r="J79" s="15" t="s">
        <v>1662</v>
      </c>
      <c r="K79" s="17">
        <v>39814</v>
      </c>
      <c r="L79" s="15" t="s">
        <v>1768</v>
      </c>
    </row>
    <row r="80" spans="2:12">
      <c r="B80" s="15" t="s">
        <v>1773</v>
      </c>
      <c r="C80" s="15">
        <v>55.06</v>
      </c>
      <c r="D80" s="15">
        <f t="shared" si="1"/>
        <v>220.24</v>
      </c>
      <c r="E80" s="15">
        <v>82.58</v>
      </c>
      <c r="F80" s="15">
        <v>151.38</v>
      </c>
      <c r="G80" s="15">
        <v>1733.78</v>
      </c>
      <c r="H80" s="15">
        <v>5173.78</v>
      </c>
      <c r="I80" s="15">
        <v>1</v>
      </c>
      <c r="J80" s="15" t="s">
        <v>1662</v>
      </c>
      <c r="K80" s="17">
        <v>38534</v>
      </c>
      <c r="L80" s="15" t="s">
        <v>1774</v>
      </c>
    </row>
    <row r="81" spans="2:12">
      <c r="B81" s="15" t="s">
        <v>1775</v>
      </c>
      <c r="C81" s="15">
        <v>30</v>
      </c>
      <c r="D81" s="15">
        <f t="shared" si="1"/>
        <v>120</v>
      </c>
      <c r="E81" s="15">
        <v>50</v>
      </c>
      <c r="F81" s="15">
        <v>100</v>
      </c>
      <c r="G81" s="15">
        <v>1250</v>
      </c>
      <c r="H81" s="15">
        <v>3750</v>
      </c>
      <c r="I81" s="15">
        <v>1</v>
      </c>
      <c r="J81" s="15" t="s">
        <v>1662</v>
      </c>
      <c r="K81" s="17">
        <v>39814</v>
      </c>
      <c r="L81" s="15" t="s">
        <v>1776</v>
      </c>
    </row>
    <row r="82" spans="2:12">
      <c r="B82" s="15" t="s">
        <v>1777</v>
      </c>
      <c r="C82" s="15">
        <v>39.24</v>
      </c>
      <c r="D82" s="15">
        <f t="shared" si="1"/>
        <v>156.96</v>
      </c>
      <c r="E82" s="15">
        <v>58.92</v>
      </c>
      <c r="F82" s="15">
        <v>93.32</v>
      </c>
      <c r="G82" s="15">
        <v>544.12</v>
      </c>
      <c r="H82" s="15">
        <v>1290.1199999999999</v>
      </c>
      <c r="I82" s="15">
        <v>2</v>
      </c>
      <c r="J82" s="15" t="s">
        <v>1662</v>
      </c>
      <c r="K82" s="17">
        <v>39814</v>
      </c>
      <c r="L82" s="15" t="s">
        <v>1778</v>
      </c>
    </row>
    <row r="83" spans="2:12">
      <c r="B83" s="15" t="s">
        <v>1779</v>
      </c>
      <c r="C83" s="15">
        <v>44.5</v>
      </c>
      <c r="D83" s="15">
        <f t="shared" si="1"/>
        <v>178</v>
      </c>
      <c r="E83" s="15">
        <v>68.34</v>
      </c>
      <c r="F83" s="15">
        <v>127.94</v>
      </c>
      <c r="G83" s="15">
        <v>856.9</v>
      </c>
      <c r="H83" s="15">
        <v>2416.9</v>
      </c>
      <c r="I83" s="15">
        <v>1</v>
      </c>
      <c r="J83" s="15" t="s">
        <v>1662</v>
      </c>
      <c r="K83" s="17">
        <v>39326</v>
      </c>
      <c r="L83" s="15" t="s">
        <v>1780</v>
      </c>
    </row>
    <row r="84" spans="2:12">
      <c r="B84" s="15" t="s">
        <v>1783</v>
      </c>
      <c r="C84" s="15">
        <v>46.5</v>
      </c>
      <c r="D84" s="15">
        <f t="shared" si="1"/>
        <v>186</v>
      </c>
      <c r="E84" s="15">
        <v>68.819999999999993</v>
      </c>
      <c r="F84" s="15">
        <v>124.62</v>
      </c>
      <c r="G84" s="15">
        <v>1327.52</v>
      </c>
      <c r="H84" s="15">
        <v>3422.52</v>
      </c>
      <c r="I84" s="15">
        <v>1</v>
      </c>
      <c r="J84" s="15">
        <v>243.05</v>
      </c>
      <c r="K84" s="17">
        <v>40179</v>
      </c>
      <c r="L84" s="15" t="s">
        <v>1784</v>
      </c>
    </row>
    <row r="85" spans="2:12">
      <c r="B85" s="15" t="s">
        <v>1785</v>
      </c>
      <c r="C85" s="15">
        <v>99.46</v>
      </c>
      <c r="D85" s="15">
        <f t="shared" si="1"/>
        <v>397.84</v>
      </c>
      <c r="E85" s="15">
        <v>150.74</v>
      </c>
      <c r="F85" s="15">
        <v>278.94</v>
      </c>
      <c r="G85" s="15">
        <v>1819.54</v>
      </c>
      <c r="H85" s="15">
        <v>5029.54</v>
      </c>
      <c r="I85" s="15">
        <v>1</v>
      </c>
      <c r="J85" s="15" t="s">
        <v>1662</v>
      </c>
      <c r="K85" s="17">
        <v>40057</v>
      </c>
      <c r="L85" s="15" t="s">
        <v>1786</v>
      </c>
    </row>
    <row r="86" spans="2:12">
      <c r="B86" s="15" t="s">
        <v>1787</v>
      </c>
      <c r="C86" s="15">
        <v>70.14</v>
      </c>
      <c r="D86" s="15">
        <f t="shared" si="1"/>
        <v>280.56</v>
      </c>
      <c r="E86" s="15">
        <v>99.9</v>
      </c>
      <c r="F86" s="15">
        <v>161.4</v>
      </c>
      <c r="G86" s="15">
        <v>562.79999999999995</v>
      </c>
      <c r="H86" s="15">
        <v>1192.8</v>
      </c>
      <c r="I86" s="15">
        <v>1</v>
      </c>
      <c r="J86" s="15" t="s">
        <v>1662</v>
      </c>
      <c r="K86" s="17">
        <v>38898</v>
      </c>
      <c r="L86" s="15" t="s">
        <v>1788</v>
      </c>
    </row>
    <row r="87" spans="2:12">
      <c r="B87" s="15" t="s">
        <v>1789</v>
      </c>
      <c r="C87" s="15">
        <v>47.2</v>
      </c>
      <c r="D87" s="15">
        <f t="shared" si="1"/>
        <v>188.8</v>
      </c>
      <c r="E87" s="15">
        <v>63.2</v>
      </c>
      <c r="F87" s="15">
        <v>103.2</v>
      </c>
      <c r="G87" s="15">
        <v>786</v>
      </c>
      <c r="H87" s="15">
        <v>2188</v>
      </c>
      <c r="I87" s="15">
        <v>1</v>
      </c>
      <c r="J87" s="15" t="s">
        <v>1662</v>
      </c>
      <c r="K87" s="17">
        <v>39692</v>
      </c>
      <c r="L87" s="15" t="s">
        <v>1790</v>
      </c>
    </row>
    <row r="88" spans="2:12">
      <c r="B88" s="15" t="s">
        <v>1791</v>
      </c>
      <c r="C88" s="15">
        <v>80.67</v>
      </c>
      <c r="D88" s="15">
        <f t="shared" si="1"/>
        <v>322.68</v>
      </c>
      <c r="E88" s="15">
        <v>115.47</v>
      </c>
      <c r="F88" s="15">
        <v>202.47</v>
      </c>
      <c r="G88" s="15">
        <v>2203.4699999999998</v>
      </c>
      <c r="H88" s="15">
        <v>6553.47</v>
      </c>
      <c r="I88" s="15">
        <v>1</v>
      </c>
      <c r="J88" s="15" t="s">
        <v>1662</v>
      </c>
      <c r="K88" s="17">
        <v>39539</v>
      </c>
      <c r="L88" s="15" t="s">
        <v>1792</v>
      </c>
    </row>
    <row r="89" spans="2:12">
      <c r="B89" s="15" t="s">
        <v>1793</v>
      </c>
      <c r="C89" s="15">
        <v>74.09</v>
      </c>
      <c r="D89" s="15">
        <f t="shared" si="1"/>
        <v>296.36</v>
      </c>
      <c r="E89" s="15">
        <v>103.36</v>
      </c>
      <c r="F89" s="15">
        <v>176.09</v>
      </c>
      <c r="G89" s="15">
        <v>507.66</v>
      </c>
      <c r="H89" s="15">
        <v>1030</v>
      </c>
      <c r="I89" s="15">
        <v>37</v>
      </c>
      <c r="J89" s="15">
        <v>306.27999999999997</v>
      </c>
      <c r="K89" s="17">
        <v>39005</v>
      </c>
      <c r="L89" s="15" t="s">
        <v>1794</v>
      </c>
    </row>
    <row r="90" spans="2:12">
      <c r="B90" s="15" t="s">
        <v>1795</v>
      </c>
      <c r="C90" s="15" t="s">
        <v>1659</v>
      </c>
      <c r="D90" s="15">
        <f>J90</f>
        <v>280</v>
      </c>
      <c r="E90" s="15" t="s">
        <v>1659</v>
      </c>
      <c r="F90" s="15" t="s">
        <v>1659</v>
      </c>
      <c r="G90" s="15" t="s">
        <v>1659</v>
      </c>
      <c r="H90" s="15" t="s">
        <v>1659</v>
      </c>
      <c r="I90" s="15">
        <v>2</v>
      </c>
      <c r="J90" s="15">
        <v>280</v>
      </c>
      <c r="K90" s="17">
        <v>36220</v>
      </c>
      <c r="L90" s="15" t="s">
        <v>1796</v>
      </c>
    </row>
    <row r="91" spans="2:12">
      <c r="B91" s="15" t="s">
        <v>1799</v>
      </c>
      <c r="C91" s="15">
        <v>51</v>
      </c>
      <c r="D91" s="15">
        <f t="shared" si="1"/>
        <v>204</v>
      </c>
      <c r="E91" s="15">
        <v>76.760000000000005</v>
      </c>
      <c r="F91" s="15">
        <v>141.16</v>
      </c>
      <c r="G91" s="18">
        <v>1622.36</v>
      </c>
      <c r="H91" s="18">
        <v>4842.3599999999997</v>
      </c>
      <c r="I91" s="15">
        <v>1</v>
      </c>
      <c r="J91" s="15">
        <v>152</v>
      </c>
      <c r="K91" s="17">
        <v>38811</v>
      </c>
      <c r="L91" s="15" t="s">
        <v>1800</v>
      </c>
    </row>
    <row r="92" spans="2:12">
      <c r="B92" s="15" t="s">
        <v>1803</v>
      </c>
      <c r="C92" s="15">
        <v>59.5</v>
      </c>
      <c r="D92" s="15">
        <f t="shared" si="1"/>
        <v>238</v>
      </c>
      <c r="E92" s="15">
        <v>83.5</v>
      </c>
      <c r="F92" s="15">
        <v>143.5</v>
      </c>
      <c r="G92" s="15">
        <v>1095.5</v>
      </c>
      <c r="H92" s="15">
        <v>3095.5</v>
      </c>
      <c r="I92" s="15">
        <v>1</v>
      </c>
      <c r="J92" s="15" t="s">
        <v>1662</v>
      </c>
      <c r="K92" s="17">
        <v>34952</v>
      </c>
      <c r="L92" s="15" t="s">
        <v>1804</v>
      </c>
    </row>
    <row r="93" spans="2:12">
      <c r="B93" s="15" t="s">
        <v>1805</v>
      </c>
      <c r="C93" s="15">
        <v>56.64</v>
      </c>
      <c r="D93" s="15">
        <f t="shared" si="1"/>
        <v>226.56</v>
      </c>
      <c r="E93" s="15">
        <v>79.92</v>
      </c>
      <c r="F93" s="15">
        <v>138.12</v>
      </c>
      <c r="G93" s="15">
        <v>962.52</v>
      </c>
      <c r="H93" s="15">
        <v>2672.52</v>
      </c>
      <c r="I93" s="15">
        <v>1</v>
      </c>
      <c r="J93" s="15">
        <v>187.2</v>
      </c>
      <c r="K93" s="17">
        <v>37346</v>
      </c>
      <c r="L93" s="15" t="s">
        <v>1806</v>
      </c>
    </row>
    <row r="94" spans="2:12">
      <c r="B94" s="15" t="s">
        <v>1807</v>
      </c>
      <c r="C94" s="15">
        <v>71.709999999999994</v>
      </c>
      <c r="D94" s="15">
        <f t="shared" si="1"/>
        <v>286.83999999999997</v>
      </c>
      <c r="E94" s="15">
        <v>83.5</v>
      </c>
      <c r="F94" s="15">
        <v>112.98</v>
      </c>
      <c r="G94" s="15">
        <v>791.02</v>
      </c>
      <c r="H94" s="15">
        <v>2265.02</v>
      </c>
      <c r="I94" s="15">
        <v>1</v>
      </c>
      <c r="J94" s="15" t="s">
        <v>1662</v>
      </c>
      <c r="K94" s="17">
        <v>39083</v>
      </c>
      <c r="L94" s="15" t="s">
        <v>1808</v>
      </c>
    </row>
    <row r="95" spans="2:12">
      <c r="B95" s="15" t="s">
        <v>1809</v>
      </c>
      <c r="C95" s="15">
        <v>39.630000000000003</v>
      </c>
      <c r="D95" s="15">
        <f t="shared" si="1"/>
        <v>158.52000000000001</v>
      </c>
      <c r="E95" s="15">
        <v>71.63</v>
      </c>
      <c r="F95" s="15">
        <v>171.63</v>
      </c>
      <c r="G95" s="15">
        <v>1131.6300000000001</v>
      </c>
      <c r="H95" s="15">
        <v>2631.63</v>
      </c>
      <c r="I95" s="15">
        <v>1</v>
      </c>
      <c r="J95" s="15" t="s">
        <v>1662</v>
      </c>
      <c r="K95" s="17">
        <v>39904</v>
      </c>
      <c r="L95" s="15" t="s">
        <v>1810</v>
      </c>
    </row>
    <row r="96" spans="2:12">
      <c r="B96" s="15" t="s">
        <v>1811</v>
      </c>
      <c r="C96" s="15">
        <v>63</v>
      </c>
      <c r="D96" s="15">
        <f t="shared" ref="D96:D159" si="2">C96*4</f>
        <v>252</v>
      </c>
      <c r="E96" s="15">
        <v>96.6</v>
      </c>
      <c r="F96" s="15">
        <v>173.6</v>
      </c>
      <c r="G96" s="15">
        <v>1197.2</v>
      </c>
      <c r="H96" s="15">
        <v>3366.4</v>
      </c>
      <c r="I96" s="15">
        <v>1</v>
      </c>
      <c r="J96" s="15">
        <v>228.8</v>
      </c>
      <c r="K96" s="17">
        <v>38078</v>
      </c>
      <c r="L96" s="15" t="s">
        <v>1812</v>
      </c>
    </row>
    <row r="97" spans="2:12">
      <c r="B97" s="15" t="s">
        <v>1813</v>
      </c>
      <c r="C97" s="15">
        <v>29.4</v>
      </c>
      <c r="D97" s="15">
        <f t="shared" si="2"/>
        <v>117.6</v>
      </c>
      <c r="E97" s="15">
        <v>45.4</v>
      </c>
      <c r="F97" s="15">
        <v>80.849999999999994</v>
      </c>
      <c r="G97" s="15">
        <v>695.12</v>
      </c>
      <c r="H97" s="15">
        <v>1935.12</v>
      </c>
      <c r="I97" s="15">
        <v>1</v>
      </c>
      <c r="J97" s="15" t="s">
        <v>1662</v>
      </c>
      <c r="K97" s="17">
        <v>39387</v>
      </c>
      <c r="L97" s="15" t="s">
        <v>1814</v>
      </c>
    </row>
    <row r="98" spans="2:12">
      <c r="B98" s="15" t="s">
        <v>1815</v>
      </c>
      <c r="C98" s="15">
        <v>33.6</v>
      </c>
      <c r="D98" s="15">
        <f t="shared" si="2"/>
        <v>134.4</v>
      </c>
      <c r="E98" s="15">
        <v>50.96</v>
      </c>
      <c r="F98" s="15">
        <v>94.36</v>
      </c>
      <c r="G98" s="15">
        <v>965.2</v>
      </c>
      <c r="H98" s="18">
        <v>2815.2</v>
      </c>
      <c r="I98" s="15">
        <v>1</v>
      </c>
      <c r="J98" s="15" t="s">
        <v>1662</v>
      </c>
      <c r="K98" s="17">
        <v>39264</v>
      </c>
      <c r="L98" s="15" t="s">
        <v>1816</v>
      </c>
    </row>
    <row r="99" spans="2:12">
      <c r="B99" s="15" t="s">
        <v>1817</v>
      </c>
      <c r="C99" s="15">
        <v>40.200000000000003</v>
      </c>
      <c r="D99" s="15">
        <f t="shared" si="2"/>
        <v>160.80000000000001</v>
      </c>
      <c r="E99" s="15">
        <v>65.08</v>
      </c>
      <c r="F99" s="15">
        <v>127.28</v>
      </c>
      <c r="G99" s="15">
        <v>634.88</v>
      </c>
      <c r="H99" s="15">
        <v>1534.88</v>
      </c>
      <c r="I99" s="15">
        <v>1</v>
      </c>
      <c r="J99" s="15" t="s">
        <v>1662</v>
      </c>
      <c r="K99" s="17">
        <v>35958</v>
      </c>
      <c r="L99" s="15" t="s">
        <v>1818</v>
      </c>
    </row>
    <row r="100" spans="2:12">
      <c r="B100" s="15" t="s">
        <v>1821</v>
      </c>
      <c r="C100" s="15">
        <v>46</v>
      </c>
      <c r="D100" s="15">
        <f t="shared" si="2"/>
        <v>184</v>
      </c>
      <c r="E100" s="15">
        <v>61.44</v>
      </c>
      <c r="F100" s="15">
        <v>100.04</v>
      </c>
      <c r="G100" s="15">
        <v>492.44</v>
      </c>
      <c r="H100" s="15">
        <v>1082.44</v>
      </c>
      <c r="I100" s="15">
        <v>1</v>
      </c>
      <c r="J100" s="15" t="s">
        <v>1662</v>
      </c>
      <c r="K100" s="17">
        <v>39539</v>
      </c>
      <c r="L100" s="15" t="s">
        <v>1822</v>
      </c>
    </row>
    <row r="101" spans="2:12">
      <c r="B101" s="15" t="s">
        <v>1823</v>
      </c>
      <c r="C101" s="15">
        <v>33.04</v>
      </c>
      <c r="D101" s="15">
        <f t="shared" si="2"/>
        <v>132.16</v>
      </c>
      <c r="E101" s="15">
        <v>42.16</v>
      </c>
      <c r="F101" s="15">
        <v>64.959999999999994</v>
      </c>
      <c r="G101" s="15">
        <v>589.36</v>
      </c>
      <c r="H101" s="18">
        <v>1729.36</v>
      </c>
      <c r="I101" s="15">
        <v>1</v>
      </c>
      <c r="J101" s="15">
        <v>139.08000000000001</v>
      </c>
      <c r="K101" s="17">
        <v>38687</v>
      </c>
      <c r="L101" s="15" t="s">
        <v>1824</v>
      </c>
    </row>
    <row r="102" spans="2:12">
      <c r="B102" s="15" t="s">
        <v>1825</v>
      </c>
      <c r="C102" s="15">
        <v>46.14</v>
      </c>
      <c r="D102" s="15">
        <f t="shared" si="2"/>
        <v>184.56</v>
      </c>
      <c r="E102" s="15">
        <v>73.739999999999995</v>
      </c>
      <c r="F102" s="15">
        <v>142.74</v>
      </c>
      <c r="G102" s="15">
        <v>1010.06</v>
      </c>
      <c r="H102" s="15">
        <v>2472.06</v>
      </c>
      <c r="I102" s="15">
        <v>1</v>
      </c>
      <c r="J102" s="15">
        <v>329.56</v>
      </c>
      <c r="K102" s="17">
        <v>37257</v>
      </c>
      <c r="L102" s="15" t="s">
        <v>1826</v>
      </c>
    </row>
    <row r="103" spans="2:12">
      <c r="B103" s="15" t="s">
        <v>1827</v>
      </c>
      <c r="C103" s="15">
        <v>138.80000000000001</v>
      </c>
      <c r="D103" s="15">
        <f t="shared" si="2"/>
        <v>555.20000000000005</v>
      </c>
      <c r="E103" s="15">
        <v>194.4</v>
      </c>
      <c r="F103" s="15">
        <v>333.4</v>
      </c>
      <c r="G103" s="15">
        <v>3530.4</v>
      </c>
      <c r="H103" s="15">
        <v>10480.4</v>
      </c>
      <c r="I103" s="15">
        <v>1</v>
      </c>
      <c r="J103" s="15">
        <v>323</v>
      </c>
      <c r="K103" s="17">
        <v>39539</v>
      </c>
      <c r="L103" s="15" t="s">
        <v>1828</v>
      </c>
    </row>
    <row r="104" spans="2:12">
      <c r="B104" s="15" t="s">
        <v>1835</v>
      </c>
      <c r="C104" s="15">
        <v>78.78</v>
      </c>
      <c r="D104" s="15">
        <f t="shared" si="2"/>
        <v>315.12</v>
      </c>
      <c r="E104" s="15">
        <v>97.66</v>
      </c>
      <c r="F104" s="15">
        <v>144.86000000000001</v>
      </c>
      <c r="G104" s="15">
        <v>1230.46</v>
      </c>
      <c r="H104" s="15">
        <v>3590.46</v>
      </c>
      <c r="I104" s="15">
        <v>1</v>
      </c>
      <c r="J104" s="15">
        <v>265.22000000000003</v>
      </c>
      <c r="K104" s="17">
        <v>40087</v>
      </c>
      <c r="L104" s="15" t="s">
        <v>1836</v>
      </c>
    </row>
    <row r="105" spans="2:12">
      <c r="B105" s="15" t="s">
        <v>1839</v>
      </c>
      <c r="C105" s="15">
        <v>54.5</v>
      </c>
      <c r="D105" s="15">
        <f t="shared" si="2"/>
        <v>218</v>
      </c>
      <c r="E105" s="15">
        <v>81.7</v>
      </c>
      <c r="F105" s="15">
        <v>149.69999999999999</v>
      </c>
      <c r="G105" s="15">
        <v>1020.2</v>
      </c>
      <c r="H105" s="15">
        <v>2520.1999999999998</v>
      </c>
      <c r="I105" s="15">
        <v>1</v>
      </c>
      <c r="J105" s="15" t="s">
        <v>1662</v>
      </c>
      <c r="K105" s="17">
        <v>39479</v>
      </c>
      <c r="L105" s="15" t="s">
        <v>1840</v>
      </c>
    </row>
    <row r="106" spans="2:12">
      <c r="B106" s="15" t="s">
        <v>1841</v>
      </c>
      <c r="C106" s="15">
        <v>49.71</v>
      </c>
      <c r="D106" s="15">
        <f t="shared" si="2"/>
        <v>198.84</v>
      </c>
      <c r="E106" s="15">
        <v>63.15</v>
      </c>
      <c r="F106" s="15">
        <v>96.75</v>
      </c>
      <c r="G106" s="15">
        <v>575.54999999999995</v>
      </c>
      <c r="H106" s="15">
        <v>1415.55</v>
      </c>
      <c r="I106" s="15">
        <v>1</v>
      </c>
      <c r="J106" s="15" t="s">
        <v>1662</v>
      </c>
      <c r="K106" s="17">
        <v>40179</v>
      </c>
      <c r="L106" s="15" t="s">
        <v>1842</v>
      </c>
    </row>
    <row r="107" spans="2:12">
      <c r="B107" s="15" t="s">
        <v>1845</v>
      </c>
      <c r="C107" s="15">
        <v>63</v>
      </c>
      <c r="D107" s="15">
        <f t="shared" si="2"/>
        <v>252</v>
      </c>
      <c r="E107" s="15">
        <v>85</v>
      </c>
      <c r="F107" s="15">
        <v>140</v>
      </c>
      <c r="G107" s="15">
        <v>1405</v>
      </c>
      <c r="H107" s="15">
        <v>4155</v>
      </c>
      <c r="I107" s="15">
        <v>1</v>
      </c>
      <c r="J107" s="15" t="s">
        <v>1662</v>
      </c>
      <c r="K107" s="17">
        <v>38353</v>
      </c>
      <c r="L107" s="15" t="s">
        <v>1846</v>
      </c>
    </row>
    <row r="108" spans="2:12" ht="28">
      <c r="B108" s="15" t="s">
        <v>1847</v>
      </c>
      <c r="C108" s="15">
        <v>140</v>
      </c>
      <c r="D108" s="15">
        <f t="shared" si="2"/>
        <v>560</v>
      </c>
      <c r="E108" s="15">
        <v>224</v>
      </c>
      <c r="F108" s="15">
        <v>434</v>
      </c>
      <c r="G108" s="15">
        <v>2564</v>
      </c>
      <c r="H108" s="15">
        <v>15764</v>
      </c>
      <c r="I108" s="15">
        <v>2</v>
      </c>
      <c r="J108" s="15" t="s">
        <v>1662</v>
      </c>
      <c r="K108" s="17">
        <v>38473</v>
      </c>
      <c r="L108" s="15" t="s">
        <v>1848</v>
      </c>
    </row>
    <row r="109" spans="2:12">
      <c r="B109" s="15" t="s">
        <v>1849</v>
      </c>
      <c r="C109" s="15">
        <v>72.64</v>
      </c>
      <c r="D109" s="15">
        <f t="shared" si="2"/>
        <v>290.56</v>
      </c>
      <c r="E109" s="15">
        <v>105.76</v>
      </c>
      <c r="F109" s="15">
        <v>188.56</v>
      </c>
      <c r="G109" s="15">
        <v>1675.26</v>
      </c>
      <c r="H109" s="15">
        <v>4685.26</v>
      </c>
      <c r="I109" s="15">
        <v>1</v>
      </c>
      <c r="J109" s="15">
        <v>288.60000000000002</v>
      </c>
      <c r="K109" s="17">
        <v>39995</v>
      </c>
      <c r="L109" s="15" t="s">
        <v>1850</v>
      </c>
    </row>
    <row r="110" spans="2:12">
      <c r="B110" s="15" t="s">
        <v>1851</v>
      </c>
      <c r="C110" s="15">
        <v>118.1</v>
      </c>
      <c r="D110" s="15">
        <f t="shared" si="2"/>
        <v>472.4</v>
      </c>
      <c r="E110" s="15">
        <v>176.3</v>
      </c>
      <c r="F110" s="15">
        <v>321.8</v>
      </c>
      <c r="G110" s="15">
        <v>3668.3</v>
      </c>
      <c r="H110" s="15">
        <v>10943.3</v>
      </c>
      <c r="I110" s="15">
        <v>1</v>
      </c>
      <c r="J110" s="15" t="s">
        <v>1662</v>
      </c>
      <c r="K110" s="17">
        <v>39479</v>
      </c>
      <c r="L110" s="15" t="s">
        <v>1852</v>
      </c>
    </row>
    <row r="111" spans="2:12">
      <c r="B111" s="15" t="s">
        <v>1853</v>
      </c>
      <c r="C111" s="15">
        <v>81.400000000000006</v>
      </c>
      <c r="D111" s="15">
        <f t="shared" si="2"/>
        <v>325.60000000000002</v>
      </c>
      <c r="E111" s="15">
        <v>108.52</v>
      </c>
      <c r="F111" s="15">
        <v>176.32</v>
      </c>
      <c r="G111" s="15">
        <v>1735.72</v>
      </c>
      <c r="H111" s="15">
        <v>5125.72</v>
      </c>
      <c r="I111" s="15">
        <v>1</v>
      </c>
      <c r="J111" s="15">
        <v>361.06</v>
      </c>
      <c r="K111" s="17">
        <v>39630</v>
      </c>
      <c r="L111" s="15" t="s">
        <v>1854</v>
      </c>
    </row>
    <row r="112" spans="2:12">
      <c r="B112" s="15" t="s">
        <v>1855</v>
      </c>
      <c r="C112" s="15">
        <v>73.2</v>
      </c>
      <c r="D112" s="15">
        <f t="shared" si="2"/>
        <v>292.8</v>
      </c>
      <c r="E112" s="15">
        <v>109.12</v>
      </c>
      <c r="F112" s="15">
        <v>198.92</v>
      </c>
      <c r="G112" s="15">
        <v>1299.2</v>
      </c>
      <c r="H112" s="15">
        <v>2827.2</v>
      </c>
      <c r="I112" s="15">
        <v>2</v>
      </c>
      <c r="J112" s="15">
        <v>236</v>
      </c>
      <c r="K112" s="17">
        <v>39539</v>
      </c>
      <c r="L112" s="15" t="s">
        <v>1856</v>
      </c>
    </row>
    <row r="113" spans="2:12">
      <c r="B113" s="15" t="s">
        <v>1857</v>
      </c>
      <c r="C113" s="15">
        <v>63</v>
      </c>
      <c r="D113" s="15">
        <f t="shared" si="2"/>
        <v>252</v>
      </c>
      <c r="E113" s="15">
        <v>75.8</v>
      </c>
      <c r="F113" s="15">
        <v>107.8</v>
      </c>
      <c r="G113" s="15">
        <v>843.8</v>
      </c>
      <c r="H113" s="15">
        <v>2443.8000000000002</v>
      </c>
      <c r="I113" s="15">
        <v>2</v>
      </c>
      <c r="J113" s="15">
        <v>258</v>
      </c>
      <c r="K113" s="17">
        <v>37803</v>
      </c>
      <c r="L113" s="15" t="s">
        <v>1858</v>
      </c>
    </row>
    <row r="114" spans="2:12">
      <c r="B114" s="15" t="s">
        <v>1859</v>
      </c>
      <c r="C114" s="15">
        <v>111.65</v>
      </c>
      <c r="D114" s="15">
        <f t="shared" si="2"/>
        <v>446.6</v>
      </c>
      <c r="E114" s="15">
        <v>132.53</v>
      </c>
      <c r="F114" s="15">
        <v>184.73</v>
      </c>
      <c r="G114" s="18">
        <v>1385.33</v>
      </c>
      <c r="H114" s="18">
        <v>3995.33</v>
      </c>
      <c r="I114" s="15">
        <v>1</v>
      </c>
      <c r="J114" s="15" t="s">
        <v>1662</v>
      </c>
      <c r="K114" s="17">
        <v>39995</v>
      </c>
      <c r="L114" s="15" t="s">
        <v>1860</v>
      </c>
    </row>
    <row r="115" spans="2:12">
      <c r="B115" s="15" t="s">
        <v>1861</v>
      </c>
      <c r="C115" s="15">
        <v>62.55</v>
      </c>
      <c r="D115" s="15">
        <f t="shared" si="2"/>
        <v>250.2</v>
      </c>
      <c r="E115" s="15">
        <v>112.24</v>
      </c>
      <c r="F115" s="15">
        <v>246.44</v>
      </c>
      <c r="G115" s="15">
        <v>3333.04</v>
      </c>
      <c r="H115" s="15">
        <v>10043.040000000001</v>
      </c>
      <c r="I115" s="15">
        <v>1</v>
      </c>
      <c r="J115" s="15" t="s">
        <v>1662</v>
      </c>
      <c r="K115" s="17">
        <v>38443</v>
      </c>
      <c r="L115" s="15" t="s">
        <v>1862</v>
      </c>
    </row>
    <row r="116" spans="2:12">
      <c r="B116" s="15" t="s">
        <v>1863</v>
      </c>
      <c r="C116" s="15">
        <v>104.85</v>
      </c>
      <c r="D116" s="15">
        <f t="shared" si="2"/>
        <v>419.4</v>
      </c>
      <c r="E116" s="15">
        <v>141.72999999999999</v>
      </c>
      <c r="F116" s="15">
        <v>233.93</v>
      </c>
      <c r="G116" s="15">
        <v>2066.5300000000002</v>
      </c>
      <c r="H116" s="15">
        <v>5236.53</v>
      </c>
      <c r="I116" s="15">
        <v>1</v>
      </c>
      <c r="J116" s="15" t="s">
        <v>1662</v>
      </c>
      <c r="K116" s="17">
        <v>40057</v>
      </c>
      <c r="L116" s="15" t="s">
        <v>1864</v>
      </c>
    </row>
    <row r="117" spans="2:12">
      <c r="B117" s="15" t="s">
        <v>1865</v>
      </c>
      <c r="C117" s="15">
        <v>56</v>
      </c>
      <c r="D117" s="15">
        <f t="shared" si="2"/>
        <v>224</v>
      </c>
      <c r="E117" s="15">
        <v>70.239999999999995</v>
      </c>
      <c r="F117" s="15">
        <v>105.84</v>
      </c>
      <c r="G117" s="15">
        <v>492.64</v>
      </c>
      <c r="H117" s="15">
        <v>1192.6400000000001</v>
      </c>
      <c r="I117" s="15">
        <v>1</v>
      </c>
      <c r="J117" s="15">
        <v>137</v>
      </c>
      <c r="K117" s="17">
        <v>39600</v>
      </c>
      <c r="L117" s="15" t="s">
        <v>1866</v>
      </c>
    </row>
    <row r="118" spans="2:12">
      <c r="B118" s="15" t="s">
        <v>1867</v>
      </c>
      <c r="C118" s="15">
        <v>43.2</v>
      </c>
      <c r="D118" s="15">
        <f t="shared" si="2"/>
        <v>172.8</v>
      </c>
      <c r="E118" s="15">
        <v>72</v>
      </c>
      <c r="F118" s="15">
        <v>144</v>
      </c>
      <c r="G118" s="15">
        <v>1488</v>
      </c>
      <c r="H118" s="15">
        <v>3888</v>
      </c>
      <c r="I118" s="15">
        <v>1</v>
      </c>
      <c r="J118" s="15" t="s">
        <v>1662</v>
      </c>
      <c r="K118" s="17">
        <v>35064</v>
      </c>
      <c r="L118" s="15" t="s">
        <v>1868</v>
      </c>
    </row>
    <row r="119" spans="2:12">
      <c r="B119" s="15" t="s">
        <v>1869</v>
      </c>
      <c r="C119" s="15">
        <v>73.5</v>
      </c>
      <c r="D119" s="15">
        <f t="shared" si="2"/>
        <v>294</v>
      </c>
      <c r="E119" s="15">
        <v>115.42</v>
      </c>
      <c r="F119" s="15">
        <v>220.22</v>
      </c>
      <c r="G119" s="15">
        <v>2364.62</v>
      </c>
      <c r="H119" s="15">
        <v>6844.62</v>
      </c>
      <c r="I119" s="15">
        <v>1</v>
      </c>
      <c r="J119" s="15" t="s">
        <v>1662</v>
      </c>
      <c r="K119" s="17">
        <v>37802</v>
      </c>
      <c r="L119" s="15" t="s">
        <v>1870</v>
      </c>
    </row>
    <row r="120" spans="2:12">
      <c r="B120" s="15" t="s">
        <v>1871</v>
      </c>
      <c r="C120" s="15">
        <v>74.09</v>
      </c>
      <c r="D120" s="15">
        <f t="shared" si="2"/>
        <v>296.36</v>
      </c>
      <c r="E120" s="15">
        <v>104.65</v>
      </c>
      <c r="F120" s="15">
        <v>181.05</v>
      </c>
      <c r="G120" s="15">
        <v>1107.75</v>
      </c>
      <c r="H120" s="15">
        <v>2487.75</v>
      </c>
      <c r="I120" s="15">
        <v>1</v>
      </c>
      <c r="J120" s="15">
        <v>531.6</v>
      </c>
      <c r="K120" s="17">
        <v>38991</v>
      </c>
      <c r="L120" s="15" t="s">
        <v>1872</v>
      </c>
    </row>
    <row r="121" spans="2:12">
      <c r="B121" s="15" t="s">
        <v>1873</v>
      </c>
      <c r="C121" s="15">
        <v>131.25</v>
      </c>
      <c r="D121" s="15">
        <f t="shared" si="2"/>
        <v>525</v>
      </c>
      <c r="E121" s="15">
        <v>161.5</v>
      </c>
      <c r="F121" s="15">
        <v>216.5</v>
      </c>
      <c r="G121" s="15">
        <v>1481.5</v>
      </c>
      <c r="H121" s="15">
        <v>4231.5</v>
      </c>
      <c r="I121" s="15">
        <v>1</v>
      </c>
      <c r="J121" s="15" t="s">
        <v>1662</v>
      </c>
      <c r="K121" s="17">
        <v>38626</v>
      </c>
      <c r="L121" s="15" t="s">
        <v>1874</v>
      </c>
    </row>
    <row r="122" spans="2:12">
      <c r="B122" s="15" t="s">
        <v>1875</v>
      </c>
      <c r="C122" s="15">
        <v>35.76</v>
      </c>
      <c r="D122" s="15">
        <f t="shared" si="2"/>
        <v>143.04</v>
      </c>
      <c r="E122" s="15">
        <v>53.6</v>
      </c>
      <c r="F122" s="15">
        <v>98.2</v>
      </c>
      <c r="G122" s="15">
        <v>523.6</v>
      </c>
      <c r="H122" s="15">
        <v>1083.5999999999999</v>
      </c>
      <c r="I122" s="15">
        <v>1</v>
      </c>
      <c r="J122" s="15" t="s">
        <v>1662</v>
      </c>
      <c r="K122" s="17">
        <v>38231</v>
      </c>
      <c r="L122" s="15" t="s">
        <v>1876</v>
      </c>
    </row>
    <row r="123" spans="2:12">
      <c r="B123" s="15" t="s">
        <v>1877</v>
      </c>
      <c r="C123" s="15">
        <v>38</v>
      </c>
      <c r="D123" s="15">
        <f t="shared" si="2"/>
        <v>152</v>
      </c>
      <c r="E123" s="15">
        <v>55.44</v>
      </c>
      <c r="F123" s="15">
        <v>99.04</v>
      </c>
      <c r="G123" s="15">
        <v>811.34</v>
      </c>
      <c r="H123" s="15">
        <v>2161.34</v>
      </c>
      <c r="I123" s="15">
        <v>1</v>
      </c>
      <c r="J123" s="15" t="s">
        <v>1662</v>
      </c>
      <c r="K123" s="17">
        <v>37622</v>
      </c>
      <c r="L123" s="15" t="s">
        <v>1878</v>
      </c>
    </row>
    <row r="124" spans="2:12">
      <c r="B124" s="15" t="s">
        <v>1879</v>
      </c>
      <c r="C124" s="15">
        <v>37.5</v>
      </c>
      <c r="D124" s="15">
        <f t="shared" si="2"/>
        <v>150</v>
      </c>
      <c r="E124" s="15">
        <v>37.5</v>
      </c>
      <c r="F124" s="15">
        <v>37.5</v>
      </c>
      <c r="G124" s="15">
        <v>37.5</v>
      </c>
      <c r="H124" s="15">
        <v>37.5</v>
      </c>
      <c r="I124" s="15">
        <v>1</v>
      </c>
      <c r="J124" s="15" t="s">
        <v>1662</v>
      </c>
      <c r="K124" s="17">
        <v>37257</v>
      </c>
      <c r="L124" s="15" t="s">
        <v>1880</v>
      </c>
    </row>
    <row r="125" spans="2:12">
      <c r="B125" s="15" t="s">
        <v>1881</v>
      </c>
      <c r="C125" s="15">
        <v>37</v>
      </c>
      <c r="D125" s="15">
        <f t="shared" si="2"/>
        <v>148</v>
      </c>
      <c r="E125" s="15">
        <v>50.76</v>
      </c>
      <c r="F125" s="15">
        <v>85.16</v>
      </c>
      <c r="G125" s="15">
        <v>523.76</v>
      </c>
      <c r="H125" s="15">
        <v>1383.76</v>
      </c>
      <c r="I125" s="15">
        <v>1</v>
      </c>
      <c r="J125" s="15" t="s">
        <v>1662</v>
      </c>
      <c r="K125" s="17">
        <v>39508</v>
      </c>
      <c r="L125" s="15" t="s">
        <v>1882</v>
      </c>
    </row>
    <row r="126" spans="2:12">
      <c r="B126" s="15" t="s">
        <v>1883</v>
      </c>
      <c r="C126" s="15">
        <v>51.3</v>
      </c>
      <c r="D126" s="15">
        <f t="shared" si="2"/>
        <v>205.2</v>
      </c>
      <c r="E126" s="15">
        <v>64.099999999999994</v>
      </c>
      <c r="F126" s="15">
        <v>96.1</v>
      </c>
      <c r="G126" s="15">
        <v>544.1</v>
      </c>
      <c r="H126" s="15">
        <v>1244.0999999999999</v>
      </c>
      <c r="I126" s="15">
        <v>1</v>
      </c>
      <c r="J126" s="15" t="s">
        <v>1662</v>
      </c>
      <c r="K126" s="17">
        <v>35431</v>
      </c>
      <c r="L126" s="15" t="s">
        <v>1884</v>
      </c>
    </row>
    <row r="127" spans="2:12">
      <c r="B127" s="15" t="s">
        <v>1885</v>
      </c>
      <c r="C127" s="15">
        <v>42.97</v>
      </c>
      <c r="D127" s="15">
        <f t="shared" si="2"/>
        <v>171.88</v>
      </c>
      <c r="E127" s="15">
        <v>62.33</v>
      </c>
      <c r="F127" s="15">
        <v>110.37</v>
      </c>
      <c r="G127" s="15">
        <v>813.53</v>
      </c>
      <c r="H127" s="15">
        <v>2153.5300000000002</v>
      </c>
      <c r="I127" s="15">
        <v>1</v>
      </c>
      <c r="J127" s="15" t="s">
        <v>1662</v>
      </c>
      <c r="K127" s="17">
        <v>38899</v>
      </c>
      <c r="L127" s="15" t="s">
        <v>1886</v>
      </c>
    </row>
    <row r="128" spans="2:12">
      <c r="B128" s="15" t="s">
        <v>1889</v>
      </c>
      <c r="C128" s="15">
        <v>60</v>
      </c>
      <c r="D128" s="15">
        <f t="shared" si="2"/>
        <v>240</v>
      </c>
      <c r="E128" s="15">
        <v>84</v>
      </c>
      <c r="F128" s="15">
        <v>144</v>
      </c>
      <c r="G128" s="15">
        <v>1524</v>
      </c>
      <c r="H128" s="15">
        <v>4524</v>
      </c>
      <c r="I128" s="15">
        <v>1</v>
      </c>
      <c r="J128" s="15">
        <v>140</v>
      </c>
      <c r="K128" s="17">
        <v>34041</v>
      </c>
      <c r="L128" s="15" t="s">
        <v>1890</v>
      </c>
    </row>
    <row r="129" spans="2:12">
      <c r="B129" s="15" t="s">
        <v>1891</v>
      </c>
      <c r="C129" s="15" t="s">
        <v>1659</v>
      </c>
      <c r="D129" s="15">
        <f>J129</f>
        <v>750</v>
      </c>
      <c r="E129" s="15" t="s">
        <v>1659</v>
      </c>
      <c r="F129" s="15" t="s">
        <v>1659</v>
      </c>
      <c r="G129" s="15" t="s">
        <v>1659</v>
      </c>
      <c r="H129" s="15" t="s">
        <v>1659</v>
      </c>
      <c r="I129" s="15">
        <v>2</v>
      </c>
      <c r="J129" s="15">
        <v>750</v>
      </c>
      <c r="K129" s="17">
        <v>39322</v>
      </c>
      <c r="L129" s="15" t="s">
        <v>1892</v>
      </c>
    </row>
    <row r="130" spans="2:12">
      <c r="B130" s="15" t="s">
        <v>1893</v>
      </c>
      <c r="C130" s="15">
        <v>40.200000000000003</v>
      </c>
      <c r="D130" s="15">
        <f t="shared" si="2"/>
        <v>160.80000000000001</v>
      </c>
      <c r="E130" s="15">
        <v>52.2</v>
      </c>
      <c r="F130" s="15">
        <v>82.2</v>
      </c>
      <c r="G130" s="15">
        <v>469.2</v>
      </c>
      <c r="H130" s="15">
        <v>1174.2</v>
      </c>
      <c r="I130" s="15">
        <v>1</v>
      </c>
      <c r="J130" s="15" t="s">
        <v>1662</v>
      </c>
      <c r="K130" s="17">
        <v>40148</v>
      </c>
      <c r="L130" s="15" t="s">
        <v>1894</v>
      </c>
    </row>
    <row r="131" spans="2:12">
      <c r="B131" s="15" t="s">
        <v>1895</v>
      </c>
      <c r="L131" s="15" t="s">
        <v>1896</v>
      </c>
    </row>
    <row r="132" spans="2:12">
      <c r="B132" s="15" t="s">
        <v>1897</v>
      </c>
      <c r="C132" s="15">
        <v>172.5</v>
      </c>
      <c r="D132" s="15">
        <f t="shared" si="2"/>
        <v>690</v>
      </c>
      <c r="E132" s="15">
        <v>232.5</v>
      </c>
      <c r="F132" s="15">
        <v>382.5</v>
      </c>
      <c r="G132" s="15">
        <v>3832.5</v>
      </c>
      <c r="H132" s="15">
        <v>11332.5</v>
      </c>
      <c r="I132" s="15">
        <v>1</v>
      </c>
      <c r="J132" s="15" t="s">
        <v>1662</v>
      </c>
      <c r="K132" s="17">
        <v>40238</v>
      </c>
      <c r="L132" s="15" t="s">
        <v>1898</v>
      </c>
    </row>
    <row r="133" spans="2:12">
      <c r="B133" s="15" t="s">
        <v>1899</v>
      </c>
      <c r="C133" s="15">
        <v>44.7</v>
      </c>
      <c r="D133" s="15">
        <f t="shared" si="2"/>
        <v>178.8</v>
      </c>
      <c r="E133" s="15">
        <v>60.3</v>
      </c>
      <c r="F133" s="15">
        <v>95.1</v>
      </c>
      <c r="G133" s="15">
        <v>722.9</v>
      </c>
      <c r="H133" s="15">
        <v>1492.9</v>
      </c>
      <c r="I133" s="15">
        <v>1</v>
      </c>
      <c r="J133" s="15" t="s">
        <v>1662</v>
      </c>
      <c r="K133" s="17">
        <v>39814</v>
      </c>
      <c r="L133" s="15" t="s">
        <v>1900</v>
      </c>
    </row>
    <row r="134" spans="2:12">
      <c r="B134" s="15" t="s">
        <v>1907</v>
      </c>
      <c r="C134" s="15">
        <v>93.36</v>
      </c>
      <c r="D134" s="15">
        <f t="shared" si="2"/>
        <v>373.44</v>
      </c>
      <c r="E134" s="15">
        <v>132.4</v>
      </c>
      <c r="F134" s="15">
        <v>230</v>
      </c>
      <c r="G134" s="15">
        <v>1340.8</v>
      </c>
      <c r="H134" s="15">
        <v>2980.8</v>
      </c>
      <c r="I134" s="15">
        <v>1</v>
      </c>
      <c r="J134" s="15">
        <v>361.81</v>
      </c>
      <c r="K134" s="17">
        <v>39083</v>
      </c>
      <c r="L134" s="15" t="s">
        <v>1908</v>
      </c>
    </row>
    <row r="135" spans="2:12">
      <c r="B135" s="15" t="s">
        <v>1909</v>
      </c>
      <c r="C135" s="15">
        <v>51.16</v>
      </c>
      <c r="D135" s="15">
        <f t="shared" si="2"/>
        <v>204.64</v>
      </c>
      <c r="E135" s="15">
        <v>74.38</v>
      </c>
      <c r="F135" s="15">
        <v>132.43</v>
      </c>
      <c r="G135" s="15">
        <v>912.58</v>
      </c>
      <c r="H135" s="15">
        <v>2165.08</v>
      </c>
      <c r="I135" s="15">
        <v>1</v>
      </c>
      <c r="J135" s="15" t="s">
        <v>1662</v>
      </c>
      <c r="K135" s="17">
        <v>38899</v>
      </c>
      <c r="L135" s="15" t="s">
        <v>1910</v>
      </c>
    </row>
    <row r="136" spans="2:12">
      <c r="B136" s="15" t="s">
        <v>1911</v>
      </c>
      <c r="C136" s="15">
        <v>38.04</v>
      </c>
      <c r="D136" s="15">
        <f t="shared" si="2"/>
        <v>152.16</v>
      </c>
      <c r="E136" s="15">
        <v>63.4</v>
      </c>
      <c r="F136" s="15">
        <v>126.8</v>
      </c>
      <c r="G136" s="15">
        <v>1182.5</v>
      </c>
      <c r="H136" s="15">
        <v>3202.5</v>
      </c>
      <c r="I136" s="15">
        <v>1</v>
      </c>
      <c r="J136" s="15" t="s">
        <v>1662</v>
      </c>
      <c r="K136" s="17">
        <v>40188</v>
      </c>
      <c r="L136" s="15" t="s">
        <v>1912</v>
      </c>
    </row>
    <row r="137" spans="2:12">
      <c r="B137" s="15" t="s">
        <v>1913</v>
      </c>
      <c r="C137" s="15">
        <v>52.5</v>
      </c>
      <c r="D137" s="15">
        <f t="shared" si="2"/>
        <v>210</v>
      </c>
      <c r="E137" s="15">
        <v>60.74</v>
      </c>
      <c r="F137" s="15">
        <v>81.34</v>
      </c>
      <c r="G137" s="15">
        <v>555.14</v>
      </c>
      <c r="H137" s="15">
        <v>1585.14</v>
      </c>
      <c r="I137" s="15">
        <v>1</v>
      </c>
      <c r="J137" s="15" t="s">
        <v>1662</v>
      </c>
      <c r="K137" s="17">
        <v>38991</v>
      </c>
      <c r="L137" s="15" t="s">
        <v>1914</v>
      </c>
    </row>
    <row r="138" spans="2:12">
      <c r="B138" s="15" t="s">
        <v>1915</v>
      </c>
      <c r="C138" s="15" t="s">
        <v>1659</v>
      </c>
      <c r="D138" s="15">
        <f>J138</f>
        <v>700</v>
      </c>
      <c r="E138" s="15" t="s">
        <v>1659</v>
      </c>
      <c r="F138" s="15" t="s">
        <v>1659</v>
      </c>
      <c r="G138" s="15" t="s">
        <v>1659</v>
      </c>
      <c r="H138" s="15" t="s">
        <v>1659</v>
      </c>
      <c r="I138" s="15">
        <v>2</v>
      </c>
      <c r="J138" s="15">
        <v>700</v>
      </c>
      <c r="K138" s="17">
        <v>40179</v>
      </c>
      <c r="L138" s="15" t="s">
        <v>1916</v>
      </c>
    </row>
    <row r="139" spans="2:12">
      <c r="B139" s="15" t="s">
        <v>1917</v>
      </c>
      <c r="C139" s="15">
        <v>49.68</v>
      </c>
      <c r="D139" s="15">
        <f t="shared" si="2"/>
        <v>198.72</v>
      </c>
      <c r="E139" s="15">
        <v>66.56</v>
      </c>
      <c r="F139" s="15">
        <v>101.26</v>
      </c>
      <c r="G139" s="15">
        <v>656.86</v>
      </c>
      <c r="H139" s="15">
        <v>1666.86</v>
      </c>
      <c r="I139" s="15">
        <v>1</v>
      </c>
      <c r="J139" s="15" t="s">
        <v>1662</v>
      </c>
      <c r="K139" s="17">
        <v>39342</v>
      </c>
      <c r="L139" s="15" t="s">
        <v>1918</v>
      </c>
    </row>
    <row r="140" spans="2:12">
      <c r="B140" s="15" t="s">
        <v>1919</v>
      </c>
      <c r="C140" s="15">
        <v>86.4</v>
      </c>
      <c r="D140" s="15">
        <f t="shared" si="2"/>
        <v>345.6</v>
      </c>
      <c r="E140" s="15">
        <v>128</v>
      </c>
      <c r="F140" s="15">
        <v>232</v>
      </c>
      <c r="G140" s="18">
        <v>1537.2</v>
      </c>
      <c r="H140" s="18">
        <v>4267.2</v>
      </c>
      <c r="I140" s="15">
        <v>1</v>
      </c>
      <c r="J140" s="15" t="s">
        <v>1662</v>
      </c>
      <c r="K140" s="17">
        <v>40179</v>
      </c>
      <c r="L140" s="15" t="s">
        <v>1920</v>
      </c>
    </row>
    <row r="141" spans="2:12">
      <c r="B141" s="15" t="s">
        <v>1921</v>
      </c>
      <c r="C141" s="15" t="s">
        <v>1659</v>
      </c>
      <c r="D141" s="15">
        <f>J141</f>
        <v>396</v>
      </c>
      <c r="E141" s="15" t="s">
        <v>1659</v>
      </c>
      <c r="F141" s="15" t="s">
        <v>1659</v>
      </c>
      <c r="G141" s="15" t="s">
        <v>1659</v>
      </c>
      <c r="H141" s="15" t="s">
        <v>1659</v>
      </c>
      <c r="I141" s="15">
        <v>2</v>
      </c>
      <c r="J141" s="15">
        <v>396</v>
      </c>
      <c r="K141" s="17">
        <v>37622</v>
      </c>
      <c r="L141" s="15" t="s">
        <v>1922</v>
      </c>
    </row>
    <row r="142" spans="2:12">
      <c r="B142" s="15" t="s">
        <v>1923</v>
      </c>
      <c r="C142" s="15">
        <v>44</v>
      </c>
      <c r="D142" s="15">
        <f t="shared" si="2"/>
        <v>176</v>
      </c>
      <c r="E142" s="15">
        <v>52.58</v>
      </c>
      <c r="F142" s="15">
        <v>74.03</v>
      </c>
      <c r="G142" s="15">
        <v>309.38</v>
      </c>
      <c r="H142" s="15">
        <v>736.88</v>
      </c>
      <c r="I142" s="15">
        <v>1</v>
      </c>
      <c r="J142" s="15" t="s">
        <v>1662</v>
      </c>
      <c r="K142" s="17">
        <v>39264</v>
      </c>
      <c r="L142" s="15" t="s">
        <v>1924</v>
      </c>
    </row>
    <row r="143" spans="2:12">
      <c r="B143" s="15" t="s">
        <v>1925</v>
      </c>
      <c r="C143" s="15">
        <v>62</v>
      </c>
      <c r="D143" s="15">
        <f t="shared" si="2"/>
        <v>248</v>
      </c>
      <c r="E143" s="15">
        <v>102</v>
      </c>
      <c r="F143" s="15">
        <v>202</v>
      </c>
      <c r="G143" s="15">
        <v>2502</v>
      </c>
      <c r="H143" s="15">
        <v>7502</v>
      </c>
      <c r="I143" s="15">
        <v>1</v>
      </c>
      <c r="J143" s="15" t="s">
        <v>1662</v>
      </c>
      <c r="K143" s="17">
        <v>38504</v>
      </c>
      <c r="L143" s="15" t="s">
        <v>1926</v>
      </c>
    </row>
    <row r="144" spans="2:12">
      <c r="B144" s="15" t="s">
        <v>1927</v>
      </c>
      <c r="C144" s="15">
        <v>40.65</v>
      </c>
      <c r="D144" s="15">
        <f t="shared" si="2"/>
        <v>162.6</v>
      </c>
      <c r="E144" s="15">
        <v>53.69</v>
      </c>
      <c r="F144" s="15">
        <v>86.29</v>
      </c>
      <c r="G144" s="15">
        <v>643.59</v>
      </c>
      <c r="H144" s="15">
        <v>1723.59</v>
      </c>
      <c r="I144" s="15">
        <v>1</v>
      </c>
      <c r="J144" s="15" t="s">
        <v>1662</v>
      </c>
      <c r="K144" s="17">
        <v>37864</v>
      </c>
      <c r="L144" s="15" t="s">
        <v>1928</v>
      </c>
    </row>
    <row r="145" spans="2:12" ht="28">
      <c r="B145" s="15" t="s">
        <v>1929</v>
      </c>
      <c r="C145" s="15">
        <v>135</v>
      </c>
      <c r="D145" s="15">
        <f t="shared" si="2"/>
        <v>540</v>
      </c>
      <c r="E145" s="15">
        <v>225</v>
      </c>
      <c r="F145" s="15">
        <v>384.56</v>
      </c>
      <c r="G145" s="18">
        <v>2817.36</v>
      </c>
      <c r="H145" s="18">
        <v>5194.5600000000004</v>
      </c>
      <c r="I145" s="15">
        <v>1</v>
      </c>
      <c r="J145" s="15" t="s">
        <v>1662</v>
      </c>
      <c r="K145" s="17">
        <v>38443</v>
      </c>
      <c r="L145" s="15" t="s">
        <v>1930</v>
      </c>
    </row>
    <row r="146" spans="2:12">
      <c r="B146" s="15" t="s">
        <v>1931</v>
      </c>
      <c r="C146" s="15">
        <v>59.71</v>
      </c>
      <c r="D146" s="15">
        <f t="shared" si="2"/>
        <v>238.84</v>
      </c>
      <c r="E146" s="15">
        <v>88.27</v>
      </c>
      <c r="F146" s="15">
        <v>159.66999999999999</v>
      </c>
      <c r="G146" s="15">
        <v>1801.87</v>
      </c>
      <c r="H146" s="15">
        <v>5371.87</v>
      </c>
      <c r="I146" s="15">
        <v>1</v>
      </c>
      <c r="J146" s="15" t="s">
        <v>1662</v>
      </c>
      <c r="K146" s="17">
        <v>38200</v>
      </c>
      <c r="L146" s="15" t="s">
        <v>1932</v>
      </c>
    </row>
    <row r="147" spans="2:12">
      <c r="B147" s="15" t="s">
        <v>1935</v>
      </c>
      <c r="C147" s="15" t="s">
        <v>1659</v>
      </c>
      <c r="D147" s="15">
        <f>J147</f>
        <v>236</v>
      </c>
      <c r="E147" s="15" t="s">
        <v>1659</v>
      </c>
      <c r="F147" s="15" t="s">
        <v>1659</v>
      </c>
      <c r="G147" s="15" t="s">
        <v>1659</v>
      </c>
      <c r="H147" s="15" t="s">
        <v>1659</v>
      </c>
      <c r="I147" s="15">
        <v>1</v>
      </c>
      <c r="J147" s="15">
        <v>236</v>
      </c>
      <c r="K147" s="17">
        <v>36008</v>
      </c>
      <c r="L147" s="15" t="s">
        <v>1936</v>
      </c>
    </row>
    <row r="148" spans="2:12">
      <c r="B148" s="15" t="s">
        <v>1937</v>
      </c>
      <c r="C148" s="15">
        <v>62</v>
      </c>
      <c r="D148" s="15">
        <f t="shared" si="2"/>
        <v>248</v>
      </c>
      <c r="E148" s="15">
        <v>118</v>
      </c>
      <c r="F148" s="15">
        <v>258</v>
      </c>
      <c r="G148" s="18">
        <v>3478</v>
      </c>
      <c r="H148" s="18">
        <v>10478</v>
      </c>
      <c r="I148" s="15">
        <v>1</v>
      </c>
      <c r="J148" s="15" t="s">
        <v>1662</v>
      </c>
      <c r="K148" s="17">
        <v>38718</v>
      </c>
      <c r="L148" s="15" t="s">
        <v>1938</v>
      </c>
    </row>
    <row r="149" spans="2:12">
      <c r="B149" s="15" t="s">
        <v>1939</v>
      </c>
      <c r="C149" s="15">
        <v>63.31</v>
      </c>
      <c r="D149" s="15">
        <f t="shared" si="2"/>
        <v>253.24</v>
      </c>
      <c r="E149" s="15">
        <v>77.150000000000006</v>
      </c>
      <c r="F149" s="15">
        <v>111.75</v>
      </c>
      <c r="G149" s="15">
        <v>907.55</v>
      </c>
      <c r="H149" s="15">
        <v>2637.55</v>
      </c>
      <c r="I149" s="15">
        <v>1</v>
      </c>
      <c r="J149" s="15" t="s">
        <v>1662</v>
      </c>
      <c r="K149" s="17">
        <v>40179</v>
      </c>
      <c r="L149" s="15" t="s">
        <v>1940</v>
      </c>
    </row>
    <row r="150" spans="2:12">
      <c r="B150" s="15" t="s">
        <v>1941</v>
      </c>
      <c r="C150" s="15">
        <v>51.25</v>
      </c>
      <c r="D150" s="15">
        <f t="shared" si="2"/>
        <v>205</v>
      </c>
      <c r="E150" s="15">
        <v>75.25</v>
      </c>
      <c r="F150" s="15">
        <v>135.25</v>
      </c>
      <c r="G150" s="15">
        <v>1515.25</v>
      </c>
      <c r="H150" s="15">
        <v>4515.25</v>
      </c>
      <c r="I150" s="15">
        <v>1</v>
      </c>
      <c r="J150" s="15" t="s">
        <v>1662</v>
      </c>
      <c r="K150" s="17">
        <v>37375</v>
      </c>
      <c r="L150" s="15" t="s">
        <v>1942</v>
      </c>
    </row>
    <row r="151" spans="2:12">
      <c r="B151" s="15" t="s">
        <v>1945</v>
      </c>
      <c r="C151" s="15">
        <v>109.8</v>
      </c>
      <c r="D151" s="15">
        <f t="shared" si="2"/>
        <v>439.2</v>
      </c>
      <c r="E151" s="15">
        <v>136.19999999999999</v>
      </c>
      <c r="F151" s="15">
        <v>202.2</v>
      </c>
      <c r="G151" s="15">
        <v>1720.2</v>
      </c>
      <c r="H151" s="15">
        <v>5020.2</v>
      </c>
      <c r="I151" s="15">
        <v>1</v>
      </c>
      <c r="J151" s="15" t="s">
        <v>1662</v>
      </c>
      <c r="K151" s="17">
        <v>38869</v>
      </c>
      <c r="L151" s="15" t="s">
        <v>1946</v>
      </c>
    </row>
    <row r="152" spans="2:12">
      <c r="B152" s="15" t="s">
        <v>1947</v>
      </c>
      <c r="C152" s="15">
        <v>68.52</v>
      </c>
      <c r="D152" s="15">
        <f t="shared" si="2"/>
        <v>274.08</v>
      </c>
      <c r="E152" s="15">
        <v>94.92</v>
      </c>
      <c r="F152" s="15">
        <v>160.91999999999999</v>
      </c>
      <c r="G152" s="15">
        <v>1373.02</v>
      </c>
      <c r="H152" s="15">
        <v>3343.02</v>
      </c>
      <c r="I152" s="15">
        <v>2</v>
      </c>
      <c r="J152" s="15" t="s">
        <v>1662</v>
      </c>
      <c r="K152" s="17">
        <v>38412</v>
      </c>
      <c r="L152" s="15" t="s">
        <v>1948</v>
      </c>
    </row>
    <row r="153" spans="2:12">
      <c r="B153" s="15" t="s">
        <v>1951</v>
      </c>
      <c r="C153" s="15">
        <v>40.83</v>
      </c>
      <c r="D153" s="15">
        <f t="shared" si="2"/>
        <v>163.32</v>
      </c>
      <c r="E153" s="15">
        <v>56.83</v>
      </c>
      <c r="F153" s="15">
        <v>96.83</v>
      </c>
      <c r="G153" s="15">
        <v>929.33</v>
      </c>
      <c r="H153" s="15">
        <v>2554.33</v>
      </c>
      <c r="I153" s="15">
        <v>1</v>
      </c>
      <c r="J153" s="15" t="s">
        <v>1662</v>
      </c>
      <c r="K153" s="17">
        <v>33969</v>
      </c>
      <c r="L153" s="15" t="s">
        <v>1952</v>
      </c>
    </row>
    <row r="154" spans="2:12">
      <c r="B154" s="15" t="s">
        <v>1953</v>
      </c>
      <c r="C154" s="15">
        <v>51.26</v>
      </c>
      <c r="D154" s="15">
        <f t="shared" si="2"/>
        <v>205.04</v>
      </c>
      <c r="E154" s="15">
        <v>71.02</v>
      </c>
      <c r="F154" s="15">
        <v>114.42</v>
      </c>
      <c r="G154" s="15">
        <v>678.22</v>
      </c>
      <c r="H154" s="15">
        <v>1708.22</v>
      </c>
      <c r="I154" s="15">
        <v>1</v>
      </c>
      <c r="J154" s="15">
        <v>476</v>
      </c>
      <c r="K154" s="17">
        <v>38534</v>
      </c>
      <c r="L154" s="15" t="s">
        <v>1954</v>
      </c>
    </row>
    <row r="155" spans="2:12">
      <c r="B155" s="15" t="s">
        <v>1955</v>
      </c>
      <c r="C155" s="15">
        <v>48.3</v>
      </c>
      <c r="D155" s="15">
        <f t="shared" si="2"/>
        <v>193.2</v>
      </c>
      <c r="E155" s="15">
        <v>66.540000000000006</v>
      </c>
      <c r="F155" s="15">
        <v>112.14</v>
      </c>
      <c r="G155" s="15">
        <v>763.34</v>
      </c>
      <c r="H155" s="15">
        <v>1583.34</v>
      </c>
      <c r="I155" s="15">
        <v>1</v>
      </c>
      <c r="J155" s="15" t="s">
        <v>1662</v>
      </c>
      <c r="K155" s="17">
        <v>34152</v>
      </c>
      <c r="L155" s="15" t="s">
        <v>1956</v>
      </c>
    </row>
    <row r="156" spans="2:12">
      <c r="B156" s="15" t="s">
        <v>1957</v>
      </c>
      <c r="C156" s="15">
        <v>74</v>
      </c>
      <c r="D156" s="15">
        <f t="shared" si="2"/>
        <v>296</v>
      </c>
      <c r="E156" s="15">
        <v>114.2</v>
      </c>
      <c r="F156" s="15">
        <v>206.9</v>
      </c>
      <c r="G156" s="15">
        <v>1273.0999999999999</v>
      </c>
      <c r="H156" s="15">
        <v>3335.6</v>
      </c>
      <c r="I156" s="15">
        <v>2</v>
      </c>
      <c r="J156" s="15">
        <v>243.6</v>
      </c>
      <c r="K156" s="17">
        <v>36434</v>
      </c>
      <c r="L156" s="15" t="s">
        <v>1958</v>
      </c>
    </row>
    <row r="157" spans="2:12">
      <c r="B157" s="15" t="s">
        <v>1959</v>
      </c>
      <c r="C157" s="15">
        <v>92.32</v>
      </c>
      <c r="D157" s="15">
        <f t="shared" si="2"/>
        <v>369.28</v>
      </c>
      <c r="E157" s="15">
        <v>139.6</v>
      </c>
      <c r="F157" s="15">
        <v>257.8</v>
      </c>
      <c r="G157" s="15">
        <v>2976.4</v>
      </c>
      <c r="H157" s="15">
        <v>8886.4</v>
      </c>
      <c r="I157" s="15">
        <v>1</v>
      </c>
      <c r="J157" s="15">
        <v>412.41</v>
      </c>
      <c r="K157" s="17">
        <v>38718</v>
      </c>
      <c r="L157" s="15" t="s">
        <v>1960</v>
      </c>
    </row>
    <row r="158" spans="2:12">
      <c r="B158" s="15" t="s">
        <v>1961</v>
      </c>
      <c r="C158" s="15">
        <v>67.28</v>
      </c>
      <c r="D158" s="15">
        <f t="shared" si="2"/>
        <v>269.12</v>
      </c>
      <c r="E158" s="15">
        <v>101.36</v>
      </c>
      <c r="F158" s="15">
        <v>176.06</v>
      </c>
      <c r="G158" s="15">
        <v>1473.26</v>
      </c>
      <c r="H158" s="15">
        <v>3993.26</v>
      </c>
      <c r="I158" s="15">
        <v>1</v>
      </c>
      <c r="J158" s="15" t="s">
        <v>1662</v>
      </c>
      <c r="K158" s="17">
        <v>38353</v>
      </c>
      <c r="L158" s="15" t="s">
        <v>1962</v>
      </c>
    </row>
    <row r="159" spans="2:12">
      <c r="B159" s="15" t="s">
        <v>1963</v>
      </c>
      <c r="C159" s="15">
        <v>52</v>
      </c>
      <c r="D159" s="15">
        <f t="shared" si="2"/>
        <v>208</v>
      </c>
      <c r="E159" s="15">
        <v>84</v>
      </c>
      <c r="F159" s="15">
        <v>164</v>
      </c>
      <c r="G159" s="15">
        <v>1740</v>
      </c>
      <c r="H159" s="15">
        <v>5140</v>
      </c>
      <c r="I159" s="15">
        <v>1</v>
      </c>
      <c r="J159" s="15" t="s">
        <v>1662</v>
      </c>
      <c r="K159" s="17">
        <v>38961</v>
      </c>
      <c r="L159" s="15" t="s">
        <v>1964</v>
      </c>
    </row>
    <row r="160" spans="2:12">
      <c r="B160" s="15" t="s">
        <v>1965</v>
      </c>
      <c r="C160" s="15">
        <v>28.8</v>
      </c>
      <c r="D160" s="15">
        <f t="shared" ref="D160:D161" si="3">C160*4</f>
        <v>115.2</v>
      </c>
      <c r="E160" s="15">
        <v>47.6</v>
      </c>
      <c r="F160" s="15">
        <v>78.400000000000006</v>
      </c>
      <c r="G160" s="15">
        <v>543.6</v>
      </c>
      <c r="H160" s="15">
        <v>1443.6</v>
      </c>
      <c r="I160" s="15">
        <v>1</v>
      </c>
      <c r="J160" s="15" t="s">
        <v>1662</v>
      </c>
      <c r="K160" s="17">
        <v>38596</v>
      </c>
      <c r="L160" s="15" t="s">
        <v>1966</v>
      </c>
    </row>
    <row r="161" spans="2:12">
      <c r="B161" s="15" t="s">
        <v>1967</v>
      </c>
      <c r="C161" s="15">
        <v>69.33</v>
      </c>
      <c r="D161" s="15">
        <f t="shared" si="3"/>
        <v>277.32</v>
      </c>
      <c r="E161" s="15">
        <v>112.53</v>
      </c>
      <c r="F161" s="15">
        <v>200.73</v>
      </c>
      <c r="G161" s="15">
        <v>986.13</v>
      </c>
      <c r="H161" s="15">
        <v>2186.13</v>
      </c>
      <c r="I161" s="15">
        <v>1</v>
      </c>
      <c r="J161" s="15" t="s">
        <v>1662</v>
      </c>
      <c r="K161" s="17">
        <v>39538</v>
      </c>
      <c r="L161" s="15" t="s">
        <v>1968</v>
      </c>
    </row>
    <row r="162" spans="2:12">
      <c r="C162" s="15">
        <f>MEDIAN(C32:C161)</f>
        <v>62</v>
      </c>
      <c r="D162" s="15">
        <f>MEDIAN(D32:D161)</f>
        <v>248</v>
      </c>
    </row>
    <row r="163" spans="2:12">
      <c r="C163" s="15">
        <f>C162*4</f>
        <v>248</v>
      </c>
      <c r="D163" s="15">
        <f>MAX(D32:D161)</f>
        <v>1059.8800000000001</v>
      </c>
      <c r="E163" s="15" t="s">
        <v>2890</v>
      </c>
    </row>
    <row r="164" spans="2:12">
      <c r="D164" s="15">
        <f>MIN(D131:D161)</f>
        <v>115.2</v>
      </c>
      <c r="E164" s="15" t="s">
        <v>2891</v>
      </c>
    </row>
    <row r="165" spans="2:12">
      <c r="D165" s="15">
        <f>AVERAGE(D131:D161)</f>
        <v>285.55999999999989</v>
      </c>
      <c r="E165" s="15" t="s">
        <v>2892</v>
      </c>
    </row>
  </sheetData>
  <sortState ref="A4:K28">
    <sortCondition ref="A4:A28"/>
    <sortCondition ref="B4:B28"/>
  </sortState>
  <mergeCells count="3">
    <mergeCell ref="B2:B3"/>
    <mergeCell ref="C2:H2"/>
    <mergeCell ref="B1:L1"/>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70C0"/>
    <pageSetUpPr fitToPage="1"/>
  </sheetPr>
  <dimension ref="A1:O78"/>
  <sheetViews>
    <sheetView workbookViewId="0">
      <selection activeCell="A2" sqref="A2"/>
    </sheetView>
  </sheetViews>
  <sheetFormatPr baseColWidth="10" defaultColWidth="8.83203125" defaultRowHeight="14" x14ac:dyDescent="0"/>
  <cols>
    <col min="1" max="1" width="11.1640625" customWidth="1"/>
    <col min="2" max="2" width="18.83203125" customWidth="1"/>
    <col min="4" max="4" width="5.83203125" customWidth="1"/>
    <col min="5" max="5" width="8.33203125" customWidth="1"/>
    <col min="6" max="6" width="5.1640625" customWidth="1"/>
    <col min="7" max="7" width="7.33203125" customWidth="1"/>
    <col min="8" max="8" width="9.1640625" customWidth="1"/>
    <col min="9" max="9" width="6.83203125" customWidth="1"/>
    <col min="10" max="10" width="1.5" customWidth="1"/>
    <col min="12" max="12" width="6.1640625" customWidth="1"/>
    <col min="13" max="13" width="6.5" customWidth="1"/>
    <col min="15" max="15" width="7.1640625" customWidth="1"/>
  </cols>
  <sheetData>
    <row r="1" spans="1:9" ht="15" thickBot="1">
      <c r="A1" s="549" t="s">
        <v>3214</v>
      </c>
      <c r="B1" s="549"/>
      <c r="C1" s="549"/>
      <c r="D1" s="549"/>
      <c r="E1" s="549"/>
      <c r="F1" s="549"/>
      <c r="G1" s="549"/>
      <c r="H1" s="549"/>
    </row>
    <row r="2" spans="1:9">
      <c r="D2" t="s">
        <v>3203</v>
      </c>
      <c r="E2" t="s">
        <v>3204</v>
      </c>
      <c r="H2" t="s">
        <v>3205</v>
      </c>
    </row>
    <row r="3" spans="1:9">
      <c r="A3" s="111" t="s">
        <v>904</v>
      </c>
      <c r="C3" s="71"/>
      <c r="D3">
        <v>80</v>
      </c>
      <c r="E3" s="462">
        <v>0</v>
      </c>
      <c r="G3" s="172"/>
      <c r="H3" s="461">
        <f t="shared" ref="H3:H25" si="0">E3/D3</f>
        <v>0</v>
      </c>
      <c r="I3" s="557">
        <v>5</v>
      </c>
    </row>
    <row r="4" spans="1:9">
      <c r="A4" s="111" t="s">
        <v>1025</v>
      </c>
      <c r="C4" s="71"/>
      <c r="D4">
        <v>950</v>
      </c>
      <c r="E4" s="462">
        <v>208.54842105263157</v>
      </c>
      <c r="G4" s="172"/>
      <c r="H4" s="461">
        <f t="shared" si="0"/>
        <v>0.21952465373961216</v>
      </c>
      <c r="I4" s="557"/>
    </row>
    <row r="5" spans="1:9">
      <c r="A5" s="111" t="s">
        <v>1358</v>
      </c>
      <c r="C5" s="71"/>
      <c r="D5">
        <v>545</v>
      </c>
      <c r="E5" s="462">
        <v>224.60550458715596</v>
      </c>
      <c r="G5" s="172"/>
      <c r="H5" s="461">
        <f t="shared" si="0"/>
        <v>0.41212019190303845</v>
      </c>
      <c r="I5" s="557"/>
    </row>
    <row r="6" spans="1:9">
      <c r="A6" s="111" t="s">
        <v>1376</v>
      </c>
      <c r="C6" s="71"/>
      <c r="D6">
        <v>537</v>
      </c>
      <c r="E6" s="462">
        <v>264.6927374301676</v>
      </c>
      <c r="G6" s="172"/>
      <c r="H6" s="461">
        <f t="shared" si="0"/>
        <v>0.49291012556828229</v>
      </c>
      <c r="I6" s="557"/>
    </row>
    <row r="7" spans="1:9">
      <c r="A7" s="111" t="s">
        <v>839</v>
      </c>
      <c r="C7" s="71"/>
      <c r="D7">
        <v>2448</v>
      </c>
      <c r="E7" s="462">
        <v>1518.266748366013</v>
      </c>
      <c r="G7" s="172"/>
      <c r="H7" s="461">
        <f t="shared" si="0"/>
        <v>0.62020700505147586</v>
      </c>
      <c r="I7" s="557"/>
    </row>
    <row r="8" spans="1:9">
      <c r="A8" s="111" t="s">
        <v>1114</v>
      </c>
      <c r="B8" s="117"/>
      <c r="C8" s="71"/>
      <c r="D8">
        <v>722</v>
      </c>
      <c r="E8" s="462">
        <v>526.31578947368416</v>
      </c>
      <c r="G8" s="172"/>
      <c r="H8" s="461">
        <f t="shared" si="0"/>
        <v>0.72896923749817755</v>
      </c>
      <c r="I8" s="557"/>
    </row>
    <row r="9" spans="1:9">
      <c r="A9" s="111" t="s">
        <v>18</v>
      </c>
      <c r="B9" s="3"/>
      <c r="C9" s="71"/>
      <c r="D9" s="3">
        <v>1805</v>
      </c>
      <c r="E9" s="462">
        <v>2075.8060941828253</v>
      </c>
      <c r="G9" s="172"/>
      <c r="H9" s="461">
        <f t="shared" si="0"/>
        <v>1.1500310771095985</v>
      </c>
      <c r="I9" s="557">
        <v>4</v>
      </c>
    </row>
    <row r="10" spans="1:9">
      <c r="A10" s="411" t="s">
        <v>488</v>
      </c>
      <c r="C10" s="71"/>
      <c r="D10">
        <v>717</v>
      </c>
      <c r="E10" s="462">
        <v>895.58577405857739</v>
      </c>
      <c r="G10" s="172"/>
      <c r="H10" s="461">
        <f t="shared" si="0"/>
        <v>1.2490736039868582</v>
      </c>
      <c r="I10" s="557"/>
    </row>
    <row r="11" spans="1:9">
      <c r="A11" s="100" t="s">
        <v>478</v>
      </c>
      <c r="C11" s="71"/>
      <c r="D11">
        <v>825</v>
      </c>
      <c r="E11" s="462">
        <v>1144.249696969697</v>
      </c>
      <c r="G11" s="172"/>
      <c r="H11" s="461">
        <f t="shared" si="0"/>
        <v>1.3869693296602388</v>
      </c>
      <c r="I11" s="557"/>
    </row>
    <row r="12" spans="1:9">
      <c r="A12" s="111" t="s">
        <v>66</v>
      </c>
      <c r="C12" s="71"/>
      <c r="D12">
        <v>1919</v>
      </c>
      <c r="E12" s="462">
        <v>2817.5049504950493</v>
      </c>
      <c r="G12" s="172"/>
      <c r="H12" s="461">
        <f t="shared" si="0"/>
        <v>1.4682151904612033</v>
      </c>
      <c r="I12" s="557"/>
    </row>
    <row r="13" spans="1:9">
      <c r="A13" s="111" t="s">
        <v>1031</v>
      </c>
      <c r="C13" s="71"/>
      <c r="D13">
        <v>273</v>
      </c>
      <c r="E13" s="462">
        <v>471.64468864468864</v>
      </c>
      <c r="G13" s="172"/>
      <c r="H13" s="461">
        <f t="shared" si="0"/>
        <v>1.7276362221417167</v>
      </c>
      <c r="I13" s="557"/>
    </row>
    <row r="14" spans="1:9">
      <c r="A14" s="111" t="s">
        <v>659</v>
      </c>
      <c r="C14" s="71"/>
      <c r="D14">
        <v>1127</v>
      </c>
      <c r="E14" s="462">
        <v>3214.891996450754</v>
      </c>
      <c r="G14" s="172"/>
      <c r="H14" s="461">
        <f t="shared" si="0"/>
        <v>2.8526104671257801</v>
      </c>
      <c r="I14" s="557">
        <v>3</v>
      </c>
    </row>
    <row r="15" spans="1:9">
      <c r="A15" s="111" t="s">
        <v>1149</v>
      </c>
      <c r="C15" s="71"/>
      <c r="D15">
        <v>1123</v>
      </c>
      <c r="E15" s="462">
        <v>3285.1852181656277</v>
      </c>
      <c r="G15" s="172"/>
      <c r="H15" s="461">
        <f t="shared" si="0"/>
        <v>2.9253652877699268</v>
      </c>
      <c r="I15" s="557"/>
    </row>
    <row r="16" spans="1:9">
      <c r="A16" s="111" t="s">
        <v>211</v>
      </c>
      <c r="C16" s="71"/>
      <c r="D16">
        <v>765</v>
      </c>
      <c r="E16" s="462">
        <v>4258.0457516339866</v>
      </c>
      <c r="G16" s="172"/>
      <c r="H16" s="461">
        <f t="shared" si="0"/>
        <v>5.5660728779529238</v>
      </c>
      <c r="I16" s="557">
        <v>2</v>
      </c>
    </row>
    <row r="17" spans="1:9">
      <c r="A17" s="111" t="s">
        <v>10</v>
      </c>
      <c r="C17" s="71"/>
      <c r="D17">
        <v>321</v>
      </c>
      <c r="E17" s="462">
        <v>1877.8411214953271</v>
      </c>
      <c r="G17" s="172"/>
      <c r="H17" s="461">
        <f t="shared" si="0"/>
        <v>5.8499723411069384</v>
      </c>
      <c r="I17" s="557"/>
    </row>
    <row r="18" spans="1:9">
      <c r="A18" s="412" t="s">
        <v>694</v>
      </c>
      <c r="C18" s="71"/>
      <c r="D18">
        <v>604</v>
      </c>
      <c r="E18" s="462">
        <v>3816.8360927152316</v>
      </c>
      <c r="G18" s="172"/>
      <c r="H18" s="461">
        <f t="shared" si="0"/>
        <v>6.3192650541642905</v>
      </c>
      <c r="I18" s="557"/>
    </row>
    <row r="19" spans="1:9">
      <c r="A19" s="111" t="s">
        <v>510</v>
      </c>
      <c r="C19" s="71"/>
      <c r="D19">
        <v>116</v>
      </c>
      <c r="E19" s="462">
        <v>1170.655172413793</v>
      </c>
      <c r="G19" s="172"/>
      <c r="H19" s="461">
        <f t="shared" si="0"/>
        <v>10.091854934601663</v>
      </c>
      <c r="I19" s="557">
        <v>1</v>
      </c>
    </row>
    <row r="20" spans="1:9">
      <c r="A20" s="111" t="s">
        <v>1405</v>
      </c>
      <c r="C20" s="71"/>
      <c r="D20">
        <v>189</v>
      </c>
      <c r="E20" s="462">
        <v>2279.232804232804</v>
      </c>
      <c r="G20" s="172"/>
      <c r="H20" s="461">
        <f t="shared" si="0"/>
        <v>12.059432826628592</v>
      </c>
      <c r="I20" s="557"/>
    </row>
    <row r="21" spans="1:9">
      <c r="A21" s="111" t="s">
        <v>1215</v>
      </c>
      <c r="C21" s="71"/>
      <c r="D21">
        <v>161</v>
      </c>
      <c r="E21" s="462">
        <v>2532.0310559006211</v>
      </c>
      <c r="G21" s="172"/>
      <c r="H21" s="461">
        <f t="shared" si="0"/>
        <v>15.72690096832684</v>
      </c>
      <c r="I21" s="557"/>
    </row>
    <row r="22" spans="1:9">
      <c r="A22" s="100" t="s">
        <v>557</v>
      </c>
      <c r="C22" s="71"/>
      <c r="D22">
        <v>200</v>
      </c>
      <c r="E22" s="462">
        <v>3935.9850000000001</v>
      </c>
      <c r="G22" s="172"/>
      <c r="H22" s="461">
        <f t="shared" si="0"/>
        <v>19.679925000000001</v>
      </c>
      <c r="I22" s="557">
        <v>0</v>
      </c>
    </row>
    <row r="23" spans="1:9">
      <c r="A23" s="111" t="s">
        <v>435</v>
      </c>
      <c r="C23" s="71"/>
      <c r="D23">
        <v>242</v>
      </c>
      <c r="E23" s="462">
        <v>5336.7148760330574</v>
      </c>
      <c r="G23" s="172"/>
      <c r="H23" s="461">
        <f t="shared" si="0"/>
        <v>22.052540810053955</v>
      </c>
      <c r="I23" s="557"/>
    </row>
    <row r="24" spans="1:9">
      <c r="A24" s="111" t="s">
        <v>74</v>
      </c>
      <c r="C24" s="71"/>
      <c r="D24">
        <v>338</v>
      </c>
      <c r="E24" s="462">
        <v>9603.0177514792904</v>
      </c>
      <c r="G24" s="172"/>
      <c r="H24" s="461">
        <f t="shared" si="0"/>
        <v>28.411295122719793</v>
      </c>
      <c r="I24" s="557"/>
    </row>
    <row r="25" spans="1:9">
      <c r="A25" s="111" t="s">
        <v>1491</v>
      </c>
      <c r="C25" s="71"/>
      <c r="D25">
        <v>63</v>
      </c>
      <c r="E25" s="462">
        <v>7303.3650793650795</v>
      </c>
      <c r="G25" s="172"/>
      <c r="H25" s="461">
        <f t="shared" si="0"/>
        <v>115.92642983119174</v>
      </c>
      <c r="I25" s="557"/>
    </row>
    <row r="27" spans="1:9">
      <c r="H27" s="461"/>
    </row>
    <row r="28" spans="1:9" ht="15" thickBot="1">
      <c r="A28" s="549" t="s">
        <v>3215</v>
      </c>
      <c r="B28" s="549"/>
      <c r="C28" s="549"/>
      <c r="D28" s="549"/>
      <c r="E28" s="549"/>
      <c r="H28" s="461"/>
    </row>
    <row r="29" spans="1:9">
      <c r="A29" s="111" t="s">
        <v>66</v>
      </c>
      <c r="D29">
        <v>30</v>
      </c>
      <c r="E29" s="558" t="s">
        <v>2945</v>
      </c>
      <c r="F29" s="406">
        <v>1</v>
      </c>
      <c r="H29" s="461"/>
    </row>
    <row r="30" spans="1:9">
      <c r="A30" s="111" t="s">
        <v>1405</v>
      </c>
      <c r="D30">
        <v>30</v>
      </c>
      <c r="E30" s="559"/>
      <c r="F30" s="406">
        <v>2</v>
      </c>
    </row>
    <row r="31" spans="1:9">
      <c r="A31" s="111" t="s">
        <v>1031</v>
      </c>
      <c r="D31">
        <v>31</v>
      </c>
      <c r="E31" s="559"/>
      <c r="F31" s="406">
        <v>3</v>
      </c>
    </row>
    <row r="32" spans="1:9">
      <c r="A32" s="111" t="s">
        <v>1491</v>
      </c>
      <c r="B32" s="3"/>
      <c r="C32" s="3"/>
      <c r="D32">
        <v>32</v>
      </c>
      <c r="E32" s="559"/>
      <c r="F32" s="406">
        <v>4</v>
      </c>
    </row>
    <row r="33" spans="1:6">
      <c r="A33" s="411" t="s">
        <v>488</v>
      </c>
      <c r="D33">
        <v>35</v>
      </c>
      <c r="E33" s="557" t="s">
        <v>2944</v>
      </c>
      <c r="F33" s="406">
        <v>5</v>
      </c>
    </row>
    <row r="34" spans="1:6">
      <c r="A34" s="111" t="s">
        <v>1025</v>
      </c>
      <c r="D34" s="3">
        <v>35</v>
      </c>
      <c r="E34" s="557"/>
      <c r="F34" s="406">
        <v>6</v>
      </c>
    </row>
    <row r="35" spans="1:6">
      <c r="A35" s="111" t="s">
        <v>74</v>
      </c>
      <c r="D35" s="3">
        <v>36</v>
      </c>
      <c r="E35" s="557"/>
      <c r="F35" s="406">
        <v>7</v>
      </c>
    </row>
    <row r="36" spans="1:6">
      <c r="A36" s="111" t="s">
        <v>1215</v>
      </c>
      <c r="D36" s="3">
        <v>36</v>
      </c>
      <c r="E36" s="557"/>
      <c r="F36" s="406">
        <v>8</v>
      </c>
    </row>
    <row r="37" spans="1:6">
      <c r="A37" s="506" t="s">
        <v>478</v>
      </c>
      <c r="D37" s="3">
        <v>37</v>
      </c>
      <c r="E37" s="557" t="s">
        <v>2943</v>
      </c>
      <c r="F37" s="406">
        <v>9</v>
      </c>
    </row>
    <row r="38" spans="1:6">
      <c r="A38" s="111" t="s">
        <v>839</v>
      </c>
      <c r="D38" s="3">
        <v>37</v>
      </c>
      <c r="E38" s="557"/>
      <c r="F38" s="406">
        <v>10</v>
      </c>
    </row>
    <row r="39" spans="1:6">
      <c r="A39" s="111" t="s">
        <v>1376</v>
      </c>
      <c r="D39" s="3">
        <v>37</v>
      </c>
      <c r="E39" s="557"/>
      <c r="F39" s="406">
        <v>11</v>
      </c>
    </row>
    <row r="40" spans="1:6">
      <c r="A40" s="507" t="s">
        <v>694</v>
      </c>
      <c r="D40" s="510">
        <v>38</v>
      </c>
      <c r="E40" s="557"/>
      <c r="F40" s="406">
        <v>12</v>
      </c>
    </row>
    <row r="41" spans="1:6">
      <c r="A41" s="111" t="s">
        <v>1358</v>
      </c>
      <c r="D41" s="510">
        <v>38</v>
      </c>
      <c r="E41" s="557"/>
      <c r="F41" s="406">
        <v>13</v>
      </c>
    </row>
    <row r="42" spans="1:6">
      <c r="A42" s="111" t="s">
        <v>1149</v>
      </c>
      <c r="D42" s="3">
        <v>39</v>
      </c>
      <c r="E42" s="557"/>
      <c r="F42" s="406">
        <v>14</v>
      </c>
    </row>
    <row r="43" spans="1:6">
      <c r="A43" s="111" t="s">
        <v>510</v>
      </c>
      <c r="D43" s="3">
        <v>41</v>
      </c>
      <c r="E43" s="557"/>
      <c r="F43" s="406">
        <v>15</v>
      </c>
    </row>
    <row r="44" spans="1:6">
      <c r="A44" s="111" t="s">
        <v>904</v>
      </c>
      <c r="D44" s="3">
        <v>43</v>
      </c>
      <c r="E44" s="557" t="s">
        <v>2942</v>
      </c>
      <c r="F44" s="406">
        <v>16</v>
      </c>
    </row>
    <row r="45" spans="1:6">
      <c r="A45" s="111" t="s">
        <v>659</v>
      </c>
      <c r="D45">
        <v>44</v>
      </c>
      <c r="E45" s="557"/>
      <c r="F45" s="406">
        <v>17</v>
      </c>
    </row>
    <row r="46" spans="1:6">
      <c r="A46" s="111" t="s">
        <v>211</v>
      </c>
      <c r="D46">
        <v>44</v>
      </c>
      <c r="E46" s="557"/>
      <c r="F46" s="406">
        <v>18</v>
      </c>
    </row>
    <row r="47" spans="1:6">
      <c r="A47" s="111" t="s">
        <v>435</v>
      </c>
      <c r="D47">
        <v>45</v>
      </c>
      <c r="E47" s="557"/>
      <c r="F47" s="406">
        <v>19</v>
      </c>
    </row>
    <row r="48" spans="1:6">
      <c r="A48" s="111" t="s">
        <v>1114</v>
      </c>
      <c r="D48">
        <v>45</v>
      </c>
      <c r="E48" s="557"/>
      <c r="F48" s="406">
        <v>20</v>
      </c>
    </row>
    <row r="49" spans="1:15">
      <c r="A49" s="111" t="s">
        <v>10</v>
      </c>
      <c r="D49">
        <v>46</v>
      </c>
      <c r="E49" s="557"/>
      <c r="F49" s="406">
        <v>21</v>
      </c>
    </row>
    <row r="50" spans="1:15">
      <c r="A50" s="506" t="s">
        <v>557</v>
      </c>
      <c r="D50">
        <v>46</v>
      </c>
      <c r="E50" s="557"/>
      <c r="F50" s="406">
        <v>22</v>
      </c>
    </row>
    <row r="51" spans="1:15">
      <c r="A51" s="111" t="s">
        <v>18</v>
      </c>
      <c r="D51">
        <v>52</v>
      </c>
      <c r="E51" s="422" t="s">
        <v>2941</v>
      </c>
      <c r="F51" s="406">
        <v>23</v>
      </c>
    </row>
    <row r="52" spans="1:15">
      <c r="A52" s="111"/>
      <c r="B52" s="3"/>
      <c r="C52" s="3"/>
      <c r="E52" s="422"/>
      <c r="F52" s="406"/>
    </row>
    <row r="53" spans="1:15" ht="15" thickBot="1">
      <c r="A53" s="560" t="s">
        <v>3229</v>
      </c>
      <c r="B53" s="560"/>
      <c r="C53" s="560"/>
      <c r="D53" s="560"/>
      <c r="E53" s="560"/>
      <c r="F53" s="560"/>
      <c r="G53" s="560"/>
      <c r="H53" s="560"/>
      <c r="I53" s="560"/>
      <c r="J53" s="560"/>
      <c r="K53" s="560"/>
      <c r="L53" s="560"/>
      <c r="M53" s="560"/>
      <c r="N53" s="560"/>
      <c r="O53" s="560"/>
    </row>
    <row r="54" spans="1:15">
      <c r="A54" s="552" t="s">
        <v>3220</v>
      </c>
      <c r="B54" s="553"/>
      <c r="C54" s="553"/>
      <c r="D54" s="553"/>
      <c r="E54" s="512">
        <v>14</v>
      </c>
      <c r="F54" s="513">
        <v>15</v>
      </c>
      <c r="G54" s="513">
        <v>10</v>
      </c>
      <c r="H54" s="514">
        <v>33</v>
      </c>
      <c r="I54" s="494">
        <v>77</v>
      </c>
      <c r="K54" s="554" t="s">
        <v>3223</v>
      </c>
      <c r="L54" s="555"/>
      <c r="M54" s="555"/>
      <c r="N54" s="555"/>
      <c r="O54" s="556"/>
    </row>
    <row r="55" spans="1:15" ht="15" thickBot="1">
      <c r="A55" s="498" t="s">
        <v>7</v>
      </c>
      <c r="B55" s="550" t="s">
        <v>3221</v>
      </c>
      <c r="C55" s="551"/>
      <c r="D55" s="551"/>
      <c r="E55" s="515" t="s">
        <v>3224</v>
      </c>
      <c r="F55" s="516" t="s">
        <v>3222</v>
      </c>
      <c r="G55" s="516" t="s">
        <v>3216</v>
      </c>
      <c r="H55" s="517" t="s">
        <v>3217</v>
      </c>
      <c r="I55" s="495" t="s">
        <v>3218</v>
      </c>
      <c r="J55" s="3"/>
      <c r="K55" s="496" t="s">
        <v>3224</v>
      </c>
      <c r="L55" s="516" t="s">
        <v>3222</v>
      </c>
      <c r="M55" s="516" t="s">
        <v>3216</v>
      </c>
      <c r="N55" s="517" t="s">
        <v>3217</v>
      </c>
      <c r="O55" s="497" t="s">
        <v>3218</v>
      </c>
    </row>
    <row r="56" spans="1:15">
      <c r="A56" s="99" t="s">
        <v>1973</v>
      </c>
      <c r="B56" s="545" t="s">
        <v>18</v>
      </c>
      <c r="C56" s="546"/>
      <c r="D56" s="546"/>
      <c r="E56" s="484">
        <f>SUM(Matrix!L4,Matrix!O4,Matrix!Q4)</f>
        <v>11</v>
      </c>
      <c r="F56" s="484">
        <f>SUM(Matrix!V4,Matrix!AP4,Matrix!AR4)</f>
        <v>11</v>
      </c>
      <c r="G56" s="484">
        <f>SUM(Matrix!AZ4,Matrix!BC4)</f>
        <v>7</v>
      </c>
      <c r="H56" s="484">
        <f>SUM(Matrix!BJ4,Matrix!BL4,Matrix!BU4,Matrix!CA4,Matrix!CO4,Matrix!CQ4,Matrix!DB4)</f>
        <v>23</v>
      </c>
      <c r="I56" s="487">
        <f t="shared" ref="I56:I78" si="1">SUM(E56:H56)</f>
        <v>52</v>
      </c>
      <c r="K56" s="490">
        <f t="shared" ref="K56:K78" si="2">E56/E$54</f>
        <v>0.7857142857142857</v>
      </c>
      <c r="L56" s="491">
        <f t="shared" ref="L56:L78" si="3">F56/F$54</f>
        <v>0.73333333333333328</v>
      </c>
      <c r="M56" s="491">
        <f t="shared" ref="M56:M78" si="4">G56/G$54</f>
        <v>0.7</v>
      </c>
      <c r="N56" s="491">
        <f t="shared" ref="N56:N78" si="5">H56/H$54</f>
        <v>0.69696969696969702</v>
      </c>
      <c r="O56" s="503">
        <f t="shared" ref="O56:O78" si="6">I56/I$54</f>
        <v>0.67532467532467533</v>
      </c>
    </row>
    <row r="57" spans="1:15">
      <c r="A57" s="161" t="s">
        <v>1973</v>
      </c>
      <c r="B57" s="541" t="s">
        <v>10</v>
      </c>
      <c r="C57" s="542"/>
      <c r="D57" s="542"/>
      <c r="E57" s="484">
        <f>SUM(Matrix!L3,Matrix!O3,Matrix!Q3)</f>
        <v>11</v>
      </c>
      <c r="F57" s="484">
        <f>SUM(Matrix!V3,Matrix!AP3,Matrix!AR3)</f>
        <v>14</v>
      </c>
      <c r="G57" s="484">
        <f>SUM(Matrix!AZ3,Matrix!BC3)</f>
        <v>8</v>
      </c>
      <c r="H57" s="484">
        <f>SUM(Matrix!BJ3,Matrix!BL3,Matrix!BU3,Matrix!CA3,Matrix!CO3,Matrix!CQ3,Matrix!DB3)</f>
        <v>13</v>
      </c>
      <c r="I57" s="488">
        <f t="shared" si="1"/>
        <v>46</v>
      </c>
      <c r="K57" s="490">
        <f t="shared" si="2"/>
        <v>0.7857142857142857</v>
      </c>
      <c r="L57" s="491">
        <f t="shared" si="3"/>
        <v>0.93333333333333335</v>
      </c>
      <c r="M57" s="491">
        <f t="shared" si="4"/>
        <v>0.8</v>
      </c>
      <c r="N57" s="499">
        <f t="shared" si="5"/>
        <v>0.39393939393939392</v>
      </c>
      <c r="O57" s="504">
        <f t="shared" si="6"/>
        <v>0.59740259740259738</v>
      </c>
    </row>
    <row r="58" spans="1:15">
      <c r="A58" s="161" t="s">
        <v>1973</v>
      </c>
      <c r="B58" s="541" t="s">
        <v>557</v>
      </c>
      <c r="C58" s="542"/>
      <c r="D58" s="542"/>
      <c r="E58" s="484">
        <f>SUM(Matrix!L10,Matrix!O10,Matrix!Q10)</f>
        <v>9</v>
      </c>
      <c r="F58" s="484">
        <f>SUM(Matrix!V10,Matrix!AP10,Matrix!AR10)</f>
        <v>7</v>
      </c>
      <c r="G58" s="484">
        <f>SUM(Matrix!AZ10,Matrix!BC10)</f>
        <v>6</v>
      </c>
      <c r="H58" s="484">
        <f>SUM(Matrix!BJ10,Matrix!BL10,Matrix!BU10,Matrix!CA10,Matrix!CO10,Matrix!CQ10,Matrix!DB10)</f>
        <v>24</v>
      </c>
      <c r="I58" s="488">
        <f t="shared" si="1"/>
        <v>46</v>
      </c>
      <c r="K58" s="490">
        <f t="shared" si="2"/>
        <v>0.6428571428571429</v>
      </c>
      <c r="L58" s="499">
        <f t="shared" si="3"/>
        <v>0.46666666666666667</v>
      </c>
      <c r="M58" s="491">
        <f t="shared" si="4"/>
        <v>0.6</v>
      </c>
      <c r="N58" s="491">
        <f t="shared" si="5"/>
        <v>0.72727272727272729</v>
      </c>
      <c r="O58" s="504">
        <f t="shared" si="6"/>
        <v>0.59740259740259738</v>
      </c>
    </row>
    <row r="59" spans="1:15">
      <c r="A59" s="161" t="s">
        <v>1973</v>
      </c>
      <c r="B59" s="541" t="s">
        <v>435</v>
      </c>
      <c r="C59" s="542"/>
      <c r="D59" s="542"/>
      <c r="E59" s="484">
        <f>SUM(Matrix!L5,Matrix!O5,Matrix!Q5)</f>
        <v>9</v>
      </c>
      <c r="F59" s="484">
        <f>SUM(Matrix!V5,Matrix!AP5,Matrix!AR5)</f>
        <v>14</v>
      </c>
      <c r="G59" s="484">
        <f>SUM(Matrix!AZ5,Matrix!BC5)</f>
        <v>6</v>
      </c>
      <c r="H59" s="484">
        <f>SUM(Matrix!BJ5,Matrix!BL5,Matrix!BU5,Matrix!CA5,Matrix!CO5,Matrix!CQ5,Matrix!DB5)</f>
        <v>16</v>
      </c>
      <c r="I59" s="488">
        <f t="shared" si="1"/>
        <v>45</v>
      </c>
      <c r="K59" s="490">
        <f t="shared" si="2"/>
        <v>0.6428571428571429</v>
      </c>
      <c r="L59" s="491">
        <f t="shared" si="3"/>
        <v>0.93333333333333335</v>
      </c>
      <c r="M59" s="491">
        <f t="shared" si="4"/>
        <v>0.6</v>
      </c>
      <c r="N59" s="499">
        <f t="shared" si="5"/>
        <v>0.48484848484848486</v>
      </c>
      <c r="O59" s="504">
        <f t="shared" si="6"/>
        <v>0.58441558441558439</v>
      </c>
    </row>
    <row r="60" spans="1:15">
      <c r="A60" s="161" t="s">
        <v>1973</v>
      </c>
      <c r="B60" s="541" t="s">
        <v>659</v>
      </c>
      <c r="C60" s="542"/>
      <c r="D60" s="542"/>
      <c r="E60" s="484">
        <f>SUM(Matrix!L12,Matrix!O12,Matrix!Q12)</f>
        <v>11</v>
      </c>
      <c r="F60" s="484">
        <f>SUM(Matrix!V12,Matrix!AP12,Matrix!AR12)</f>
        <v>7</v>
      </c>
      <c r="G60" s="484">
        <f>SUM(Matrix!AZ12,Matrix!BC12)</f>
        <v>4</v>
      </c>
      <c r="H60" s="484">
        <f>SUM(Matrix!BJ12,Matrix!BL12,Matrix!BU12,Matrix!CA12,Matrix!CO12,Matrix!CQ12,Matrix!DB12)</f>
        <v>22</v>
      </c>
      <c r="I60" s="488">
        <f t="shared" si="1"/>
        <v>44</v>
      </c>
      <c r="K60" s="490">
        <f t="shared" si="2"/>
        <v>0.7857142857142857</v>
      </c>
      <c r="L60" s="499">
        <f t="shared" si="3"/>
        <v>0.46666666666666667</v>
      </c>
      <c r="M60" s="499">
        <f t="shared" si="4"/>
        <v>0.4</v>
      </c>
      <c r="N60" s="491">
        <f t="shared" si="5"/>
        <v>0.66666666666666663</v>
      </c>
      <c r="O60" s="504">
        <f t="shared" si="6"/>
        <v>0.5714285714285714</v>
      </c>
    </row>
    <row r="61" spans="1:15">
      <c r="A61" s="161" t="s">
        <v>1973</v>
      </c>
      <c r="B61" s="541" t="s">
        <v>904</v>
      </c>
      <c r="C61" s="542"/>
      <c r="D61" s="542"/>
      <c r="E61" s="484">
        <f>SUM(Matrix!L15,Matrix!O15,Matrix!Q15)</f>
        <v>6</v>
      </c>
      <c r="F61" s="484">
        <f>SUM(Matrix!V15,Matrix!AP15,Matrix!AR15)</f>
        <v>9</v>
      </c>
      <c r="G61" s="484">
        <f>SUM(Matrix!AZ15,Matrix!BC15)</f>
        <v>4</v>
      </c>
      <c r="H61" s="484">
        <f>SUM(Matrix!BJ15,Matrix!BL15,Matrix!BU15,Matrix!CA15,Matrix!CO15,Matrix!CQ15,Matrix!DB15)</f>
        <v>24</v>
      </c>
      <c r="I61" s="488">
        <f t="shared" si="1"/>
        <v>43</v>
      </c>
      <c r="K61" s="501">
        <f t="shared" si="2"/>
        <v>0.42857142857142855</v>
      </c>
      <c r="L61" s="491">
        <f t="shared" si="3"/>
        <v>0.6</v>
      </c>
      <c r="M61" s="499">
        <f t="shared" si="4"/>
        <v>0.4</v>
      </c>
      <c r="N61" s="491">
        <f t="shared" si="5"/>
        <v>0.72727272727272729</v>
      </c>
      <c r="O61" s="504">
        <f t="shared" si="6"/>
        <v>0.55844155844155841</v>
      </c>
    </row>
    <row r="62" spans="1:15">
      <c r="A62" s="161" t="s">
        <v>1973</v>
      </c>
      <c r="B62" s="541" t="s">
        <v>510</v>
      </c>
      <c r="C62" s="542"/>
      <c r="D62" s="542"/>
      <c r="E62" s="484">
        <f>SUM(Matrix!L8,Matrix!O8,Matrix!Q8)</f>
        <v>9</v>
      </c>
      <c r="F62" s="484">
        <f>SUM(Matrix!V8,Matrix!AP8,Matrix!AR8)</f>
        <v>14</v>
      </c>
      <c r="G62" s="484">
        <f>SUM(Matrix!AZ8,Matrix!BC8)</f>
        <v>7</v>
      </c>
      <c r="H62" s="484">
        <f>SUM(Matrix!BJ8,Matrix!BL8,Matrix!BU8,Matrix!CA8,Matrix!CO8,Matrix!CQ8,Matrix!DB8)</f>
        <v>11</v>
      </c>
      <c r="I62" s="488">
        <f t="shared" si="1"/>
        <v>41</v>
      </c>
      <c r="K62" s="490">
        <f t="shared" si="2"/>
        <v>0.6428571428571429</v>
      </c>
      <c r="L62" s="491">
        <f t="shared" si="3"/>
        <v>0.93333333333333335</v>
      </c>
      <c r="M62" s="491">
        <f t="shared" si="4"/>
        <v>0.7</v>
      </c>
      <c r="N62" s="499">
        <f t="shared" si="5"/>
        <v>0.33333333333333331</v>
      </c>
      <c r="O62" s="504">
        <f t="shared" si="6"/>
        <v>0.53246753246753242</v>
      </c>
    </row>
    <row r="63" spans="1:15">
      <c r="A63" s="161" t="s">
        <v>1973</v>
      </c>
      <c r="B63" s="547" t="s">
        <v>3225</v>
      </c>
      <c r="C63" s="548"/>
      <c r="D63" s="548"/>
      <c r="E63" s="484">
        <f>SUM(Matrix!L13,Matrix!O13,Matrix!Q13)</f>
        <v>8</v>
      </c>
      <c r="F63" s="484">
        <f>SUM(Matrix!V13,Matrix!AP13,Matrix!AR13)</f>
        <v>6</v>
      </c>
      <c r="G63" s="484">
        <f>SUM(Matrix!AZ13,Matrix!BC13)</f>
        <v>5</v>
      </c>
      <c r="H63" s="484">
        <f>SUM(Matrix!BJ13,Matrix!BL13,Matrix!BU13,Matrix!CA13,Matrix!CO13,Matrix!CQ13,Matrix!DB13)</f>
        <v>19</v>
      </c>
      <c r="I63" s="488">
        <f t="shared" si="1"/>
        <v>38</v>
      </c>
      <c r="K63" s="501">
        <f t="shared" si="2"/>
        <v>0.5714285714285714</v>
      </c>
      <c r="L63" s="499">
        <f t="shared" si="3"/>
        <v>0.4</v>
      </c>
      <c r="M63" s="499">
        <f t="shared" si="4"/>
        <v>0.5</v>
      </c>
      <c r="N63" s="491">
        <f t="shared" si="5"/>
        <v>0.5757575757575758</v>
      </c>
      <c r="O63" s="504">
        <f t="shared" si="6"/>
        <v>0.4935064935064935</v>
      </c>
    </row>
    <row r="64" spans="1:15">
      <c r="A64" s="161" t="s">
        <v>1973</v>
      </c>
      <c r="B64" s="541" t="s">
        <v>478</v>
      </c>
      <c r="C64" s="542"/>
      <c r="D64" s="542"/>
      <c r="E64" s="484">
        <f>SUM(Matrix!L6,Matrix!O6,Matrix!Q6)</f>
        <v>9</v>
      </c>
      <c r="F64" s="484">
        <f>SUM(Matrix!V6,Matrix!AP6,Matrix!AR6)</f>
        <v>8</v>
      </c>
      <c r="G64" s="484">
        <f>SUM(Matrix!AZ6,Matrix!BC6)</f>
        <v>5</v>
      </c>
      <c r="H64" s="484">
        <f>SUM(Matrix!BJ6,Matrix!BL6,Matrix!BU6,Matrix!CA6,Matrix!CO6,Matrix!CQ6,Matrix!DB6)</f>
        <v>15</v>
      </c>
      <c r="I64" s="488">
        <f t="shared" si="1"/>
        <v>37</v>
      </c>
      <c r="K64" s="490">
        <f t="shared" si="2"/>
        <v>0.6428571428571429</v>
      </c>
      <c r="L64" s="499">
        <f t="shared" si="3"/>
        <v>0.53333333333333333</v>
      </c>
      <c r="M64" s="499">
        <f t="shared" si="4"/>
        <v>0.5</v>
      </c>
      <c r="N64" s="499">
        <f t="shared" si="5"/>
        <v>0.45454545454545453</v>
      </c>
      <c r="O64" s="504">
        <f t="shared" si="6"/>
        <v>0.48051948051948051</v>
      </c>
    </row>
    <row r="65" spans="1:15">
      <c r="A65" s="161" t="s">
        <v>1973</v>
      </c>
      <c r="B65" s="541" t="s">
        <v>839</v>
      </c>
      <c r="C65" s="542"/>
      <c r="D65" s="542"/>
      <c r="E65" s="484">
        <f>SUM(Matrix!L14,Matrix!O14,Matrix!Q14)</f>
        <v>11</v>
      </c>
      <c r="F65" s="484">
        <f>SUM(Matrix!V14,Matrix!AP14,Matrix!AR14)</f>
        <v>5</v>
      </c>
      <c r="G65" s="484">
        <f>SUM(Matrix!AZ14,Matrix!BC14)</f>
        <v>3</v>
      </c>
      <c r="H65" s="484">
        <f>SUM(Matrix!BJ14,Matrix!BL14,Matrix!BU14,Matrix!CA14,Matrix!CO14,Matrix!CQ14,Matrix!DB14)</f>
        <v>18</v>
      </c>
      <c r="I65" s="488">
        <f t="shared" si="1"/>
        <v>37</v>
      </c>
      <c r="K65" s="490">
        <f t="shared" si="2"/>
        <v>0.7857142857142857</v>
      </c>
      <c r="L65" s="499">
        <f t="shared" si="3"/>
        <v>0.33333333333333331</v>
      </c>
      <c r="M65" s="499">
        <f t="shared" si="4"/>
        <v>0.3</v>
      </c>
      <c r="N65" s="499">
        <f t="shared" si="5"/>
        <v>0.54545454545454541</v>
      </c>
      <c r="O65" s="504">
        <f t="shared" si="6"/>
        <v>0.48051948051948051</v>
      </c>
    </row>
    <row r="66" spans="1:15">
      <c r="A66" s="161" t="s">
        <v>1973</v>
      </c>
      <c r="B66" s="541" t="s">
        <v>74</v>
      </c>
      <c r="C66" s="542"/>
      <c r="D66" s="542"/>
      <c r="E66" s="484">
        <f>SUM(Matrix!L11,Matrix!O11,Matrix!Q11)</f>
        <v>10</v>
      </c>
      <c r="F66" s="484">
        <f>SUM(Matrix!V11,Matrix!AP11,Matrix!AR11)</f>
        <v>9</v>
      </c>
      <c r="G66" s="484">
        <f>SUM(Matrix!AZ11,Matrix!BC11)</f>
        <v>7</v>
      </c>
      <c r="H66" s="484">
        <f>SUM(Matrix!BJ11,Matrix!BL11,Matrix!BU11,Matrix!CA11,Matrix!CO11,Matrix!CQ11,Matrix!DB11)</f>
        <v>10</v>
      </c>
      <c r="I66" s="488">
        <f t="shared" si="1"/>
        <v>36</v>
      </c>
      <c r="K66" s="490">
        <f t="shared" si="2"/>
        <v>0.7142857142857143</v>
      </c>
      <c r="L66" s="491">
        <f t="shared" si="3"/>
        <v>0.6</v>
      </c>
      <c r="M66" s="491">
        <f t="shared" si="4"/>
        <v>0.7</v>
      </c>
      <c r="N66" s="499">
        <f t="shared" si="5"/>
        <v>0.30303030303030304</v>
      </c>
      <c r="O66" s="504">
        <f t="shared" si="6"/>
        <v>0.46753246753246752</v>
      </c>
    </row>
    <row r="67" spans="1:15">
      <c r="A67" s="99" t="s">
        <v>1973</v>
      </c>
      <c r="B67" s="547" t="s">
        <v>488</v>
      </c>
      <c r="C67" s="548"/>
      <c r="D67" s="548"/>
      <c r="E67" s="484">
        <f>SUM(Matrix!L7,Matrix!O7,Matrix!Q7)</f>
        <v>9</v>
      </c>
      <c r="F67" s="484">
        <f>SUM(Matrix!V7,Matrix!AP7,Matrix!AR7)</f>
        <v>8</v>
      </c>
      <c r="G67" s="484">
        <f>SUM(Matrix!AZ7,Matrix!BC7)</f>
        <v>2</v>
      </c>
      <c r="H67" s="484">
        <f>SUM(Matrix!BJ7,Matrix!BL7,Matrix!BU7,Matrix!CA7,Matrix!CO7,Matrix!CQ7,Matrix!DB7)</f>
        <v>16</v>
      </c>
      <c r="I67" s="488">
        <f t="shared" si="1"/>
        <v>35</v>
      </c>
      <c r="K67" s="490">
        <f t="shared" si="2"/>
        <v>0.6428571428571429</v>
      </c>
      <c r="L67" s="499">
        <f t="shared" si="3"/>
        <v>0.53333333333333333</v>
      </c>
      <c r="M67" s="499">
        <f t="shared" si="4"/>
        <v>0.2</v>
      </c>
      <c r="N67" s="499">
        <f t="shared" si="5"/>
        <v>0.48484848484848486</v>
      </c>
      <c r="O67" s="504">
        <f t="shared" si="6"/>
        <v>0.45454545454545453</v>
      </c>
    </row>
    <row r="68" spans="1:15">
      <c r="A68" s="99" t="s">
        <v>1973</v>
      </c>
      <c r="B68" s="541" t="s">
        <v>1025</v>
      </c>
      <c r="C68" s="542"/>
      <c r="D68" s="542"/>
      <c r="E68" s="484">
        <f>SUM(Matrix!L16,Matrix!O16,Matrix!Q16)</f>
        <v>8</v>
      </c>
      <c r="F68" s="484">
        <f>SUM(Matrix!V16,Matrix!AP16,Matrix!AR16)</f>
        <v>9</v>
      </c>
      <c r="G68" s="484">
        <f>SUM(Matrix!AZ16,Matrix!BC16)</f>
        <v>5</v>
      </c>
      <c r="H68" s="484">
        <f>SUM(Matrix!BJ16,Matrix!BL16,Matrix!BU16,Matrix!CA16,Matrix!CO16,Matrix!CQ16,Matrix!DB16)</f>
        <v>13</v>
      </c>
      <c r="I68" s="488">
        <f t="shared" si="1"/>
        <v>35</v>
      </c>
      <c r="K68" s="501">
        <f t="shared" si="2"/>
        <v>0.5714285714285714</v>
      </c>
      <c r="L68" s="491">
        <f t="shared" si="3"/>
        <v>0.6</v>
      </c>
      <c r="M68" s="499">
        <f t="shared" si="4"/>
        <v>0.5</v>
      </c>
      <c r="N68" s="499">
        <f t="shared" si="5"/>
        <v>0.39393939393939392</v>
      </c>
      <c r="O68" s="504">
        <f t="shared" si="6"/>
        <v>0.45454545454545453</v>
      </c>
    </row>
    <row r="69" spans="1:15">
      <c r="A69" s="99" t="s">
        <v>1973</v>
      </c>
      <c r="B69" s="541" t="s">
        <v>1031</v>
      </c>
      <c r="C69" s="542"/>
      <c r="D69" s="542"/>
      <c r="E69" s="484">
        <f>SUM(Matrix!L17,Matrix!O17,Matrix!Q17)</f>
        <v>10</v>
      </c>
      <c r="F69" s="484">
        <f>SUM(Matrix!V17,Matrix!AP17,Matrix!AR17)</f>
        <v>1</v>
      </c>
      <c r="G69" s="484">
        <f>SUM(Matrix!AZ17,Matrix!BC17)</f>
        <v>1</v>
      </c>
      <c r="H69" s="484">
        <f>SUM(Matrix!BJ17,Matrix!BL17,Matrix!BU17,Matrix!CA17,Matrix!CO17,Matrix!CQ17,Matrix!DB17)</f>
        <v>19</v>
      </c>
      <c r="I69" s="488">
        <f t="shared" si="1"/>
        <v>31</v>
      </c>
      <c r="K69" s="490">
        <f t="shared" si="2"/>
        <v>0.7142857142857143</v>
      </c>
      <c r="L69" s="499">
        <f t="shared" si="3"/>
        <v>6.6666666666666666E-2</v>
      </c>
      <c r="M69" s="499">
        <f t="shared" si="4"/>
        <v>0.1</v>
      </c>
      <c r="N69" s="499">
        <f t="shared" si="5"/>
        <v>0.5757575757575758</v>
      </c>
      <c r="O69" s="504">
        <f t="shared" si="6"/>
        <v>0.40259740259740262</v>
      </c>
    </row>
    <row r="70" spans="1:15" ht="15" thickBot="1">
      <c r="A70" s="435" t="s">
        <v>1973</v>
      </c>
      <c r="B70" s="543" t="s">
        <v>66</v>
      </c>
      <c r="C70" s="544"/>
      <c r="D70" s="544"/>
      <c r="E70" s="486">
        <f>SUM(Matrix!L9,Matrix!O9,Matrix!Q9)</f>
        <v>9</v>
      </c>
      <c r="F70" s="486">
        <f>SUM(Matrix!V9,Matrix!AP9,Matrix!AR9)</f>
        <v>2</v>
      </c>
      <c r="G70" s="486">
        <f>SUM(Matrix!AZ9,Matrix!BC9)</f>
        <v>2</v>
      </c>
      <c r="H70" s="486">
        <f>SUM(Matrix!BJ9,Matrix!BL9,Matrix!BU9,Matrix!CA9,Matrix!CO9,Matrix!CQ9,Matrix!DB9)</f>
        <v>17</v>
      </c>
      <c r="I70" s="489">
        <f t="shared" si="1"/>
        <v>30</v>
      </c>
      <c r="J70" s="485"/>
      <c r="K70" s="492">
        <f t="shared" si="2"/>
        <v>0.6428571428571429</v>
      </c>
      <c r="L70" s="500">
        <f t="shared" si="3"/>
        <v>0.13333333333333333</v>
      </c>
      <c r="M70" s="500">
        <f t="shared" si="4"/>
        <v>0.2</v>
      </c>
      <c r="N70" s="500">
        <f t="shared" si="5"/>
        <v>0.51515151515151514</v>
      </c>
      <c r="O70" s="505">
        <f t="shared" si="6"/>
        <v>0.38961038961038963</v>
      </c>
    </row>
    <row r="71" spans="1:15">
      <c r="A71" s="161" t="s">
        <v>1971</v>
      </c>
      <c r="B71" s="545" t="s">
        <v>1114</v>
      </c>
      <c r="C71" s="546"/>
      <c r="D71" s="546"/>
      <c r="E71" s="484">
        <f>SUM(Matrix!L18,Matrix!O18,Matrix!Q18)</f>
        <v>13</v>
      </c>
      <c r="F71" s="484">
        <f>SUM(Matrix!V18,Matrix!AP18,Matrix!AR18)</f>
        <v>14</v>
      </c>
      <c r="G71" s="484">
        <f>SUM(Matrix!AZ18,Matrix!BC18)</f>
        <v>1</v>
      </c>
      <c r="H71" s="484">
        <f>SUM(Matrix!BJ18,Matrix!BL18,Matrix!BU18,Matrix!CA18,Matrix!CO18,Matrix!CQ18,Matrix!DB18)</f>
        <v>17</v>
      </c>
      <c r="I71" s="488">
        <f t="shared" si="1"/>
        <v>45</v>
      </c>
      <c r="K71" s="490">
        <f t="shared" si="2"/>
        <v>0.9285714285714286</v>
      </c>
      <c r="L71" s="491">
        <f t="shared" si="3"/>
        <v>0.93333333333333335</v>
      </c>
      <c r="M71" s="499">
        <f t="shared" si="4"/>
        <v>0.1</v>
      </c>
      <c r="N71" s="499">
        <f t="shared" si="5"/>
        <v>0.51515151515151514</v>
      </c>
      <c r="O71" s="504">
        <f t="shared" si="6"/>
        <v>0.58441558441558439</v>
      </c>
    </row>
    <row r="72" spans="1:15">
      <c r="A72" s="99" t="s">
        <v>1971</v>
      </c>
      <c r="B72" s="541" t="s">
        <v>211</v>
      </c>
      <c r="C72" s="542"/>
      <c r="D72" s="542"/>
      <c r="E72" s="484">
        <f>SUM(Matrix!L24,Matrix!O24,Matrix!Q24)</f>
        <v>8</v>
      </c>
      <c r="F72" s="484">
        <f>SUM(Matrix!V24,Matrix!AP24,Matrix!AR24)</f>
        <v>11</v>
      </c>
      <c r="G72" s="484">
        <f>SUM(Matrix!AZ24,Matrix!BC24)</f>
        <v>5</v>
      </c>
      <c r="H72" s="484">
        <f>SUM(Matrix!BJ24,Matrix!BL24,Matrix!BU24,Matrix!CA24,Matrix!CO24,Matrix!CQ24,Matrix!DB24)</f>
        <v>20</v>
      </c>
      <c r="I72" s="488">
        <f t="shared" si="1"/>
        <v>44</v>
      </c>
      <c r="K72" s="490">
        <f t="shared" si="2"/>
        <v>0.5714285714285714</v>
      </c>
      <c r="L72" s="491">
        <f t="shared" si="3"/>
        <v>0.73333333333333328</v>
      </c>
      <c r="M72" s="499">
        <f t="shared" si="4"/>
        <v>0.5</v>
      </c>
      <c r="N72" s="491">
        <f t="shared" si="5"/>
        <v>0.60606060606060608</v>
      </c>
      <c r="O72" s="504">
        <f t="shared" si="6"/>
        <v>0.5714285714285714</v>
      </c>
    </row>
    <row r="73" spans="1:15">
      <c r="A73" s="161" t="s">
        <v>1971</v>
      </c>
      <c r="B73" s="541" t="s">
        <v>1149</v>
      </c>
      <c r="C73" s="542"/>
      <c r="D73" s="542"/>
      <c r="E73" s="484">
        <f>SUM(Matrix!L19,Matrix!O19,Matrix!Q19)</f>
        <v>8</v>
      </c>
      <c r="F73" s="484">
        <f>SUM(Matrix!V19,Matrix!AP19,Matrix!AR19)</f>
        <v>10</v>
      </c>
      <c r="G73" s="484">
        <f>SUM(Matrix!AZ19,Matrix!BC19)</f>
        <v>0</v>
      </c>
      <c r="H73" s="484">
        <f>SUM(Matrix!BJ19,Matrix!BL19,Matrix!BU19,Matrix!CA19,Matrix!CO19,Matrix!CQ19,Matrix!DB19)</f>
        <v>21</v>
      </c>
      <c r="I73" s="488">
        <f t="shared" si="1"/>
        <v>39</v>
      </c>
      <c r="K73" s="501">
        <f t="shared" si="2"/>
        <v>0.5714285714285714</v>
      </c>
      <c r="L73" s="491">
        <f t="shared" si="3"/>
        <v>0.66666666666666663</v>
      </c>
      <c r="M73" s="499">
        <f t="shared" si="4"/>
        <v>0</v>
      </c>
      <c r="N73" s="491">
        <f t="shared" si="5"/>
        <v>0.63636363636363635</v>
      </c>
      <c r="O73" s="504">
        <f t="shared" si="6"/>
        <v>0.50649350649350644</v>
      </c>
    </row>
    <row r="74" spans="1:15">
      <c r="A74" s="161" t="s">
        <v>1971</v>
      </c>
      <c r="B74" s="541" t="s">
        <v>1358</v>
      </c>
      <c r="C74" s="542"/>
      <c r="D74" s="542"/>
      <c r="E74" s="484">
        <f>SUM(Matrix!L21,Matrix!O21,Matrix!Q21)</f>
        <v>8</v>
      </c>
      <c r="F74" s="484">
        <f>SUM(Matrix!V21,Matrix!AP21,Matrix!AR21)</f>
        <v>9</v>
      </c>
      <c r="G74" s="484">
        <f>SUM(Matrix!AZ21,Matrix!BC21)</f>
        <v>5</v>
      </c>
      <c r="H74" s="484">
        <f>SUM(Matrix!BJ21,Matrix!BL21,Matrix!BU21,Matrix!CA21,Matrix!CO21,Matrix!CQ21,Matrix!DB21)</f>
        <v>16</v>
      </c>
      <c r="I74" s="488">
        <f t="shared" si="1"/>
        <v>38</v>
      </c>
      <c r="K74" s="501">
        <f t="shared" si="2"/>
        <v>0.5714285714285714</v>
      </c>
      <c r="L74" s="491">
        <f t="shared" si="3"/>
        <v>0.6</v>
      </c>
      <c r="M74" s="499">
        <f t="shared" si="4"/>
        <v>0.5</v>
      </c>
      <c r="N74" s="499">
        <f t="shared" si="5"/>
        <v>0.48484848484848486</v>
      </c>
      <c r="O74" s="504">
        <f t="shared" si="6"/>
        <v>0.4935064935064935</v>
      </c>
    </row>
    <row r="75" spans="1:15">
      <c r="A75" s="161" t="s">
        <v>1971</v>
      </c>
      <c r="B75" s="541" t="s">
        <v>1376</v>
      </c>
      <c r="C75" s="542"/>
      <c r="D75" s="542"/>
      <c r="E75" s="484">
        <f>SUM(Matrix!L22,Matrix!O22,Matrix!Q22)</f>
        <v>7</v>
      </c>
      <c r="F75" s="484">
        <f>SUM(Matrix!V22,Matrix!AP22,Matrix!AR22)</f>
        <v>11</v>
      </c>
      <c r="G75" s="484">
        <f>SUM(Matrix!AZ22,Matrix!BC22)</f>
        <v>3</v>
      </c>
      <c r="H75" s="484">
        <f>SUM(Matrix!BJ22,Matrix!BL22,Matrix!BU22,Matrix!CA22,Matrix!CO22,Matrix!CQ22,Matrix!DB22)</f>
        <v>16</v>
      </c>
      <c r="I75" s="488">
        <f t="shared" si="1"/>
        <v>37</v>
      </c>
      <c r="J75" s="117"/>
      <c r="K75" s="501">
        <f t="shared" si="2"/>
        <v>0.5</v>
      </c>
      <c r="L75" s="491">
        <f t="shared" si="3"/>
        <v>0.73333333333333328</v>
      </c>
      <c r="M75" s="499">
        <f t="shared" si="4"/>
        <v>0.3</v>
      </c>
      <c r="N75" s="499">
        <f t="shared" si="5"/>
        <v>0.48484848484848486</v>
      </c>
      <c r="O75" s="504">
        <f t="shared" si="6"/>
        <v>0.48051948051948051</v>
      </c>
    </row>
    <row r="76" spans="1:15">
      <c r="A76" s="161" t="s">
        <v>1971</v>
      </c>
      <c r="B76" s="541" t="s">
        <v>1215</v>
      </c>
      <c r="C76" s="542"/>
      <c r="D76" s="542"/>
      <c r="E76" s="484">
        <f>SUM(Matrix!L20,Matrix!O20,Matrix!Q20)</f>
        <v>5</v>
      </c>
      <c r="F76" s="484">
        <f>SUM(Matrix!V20,Matrix!AP20,Matrix!AR20)</f>
        <v>6</v>
      </c>
      <c r="G76" s="484">
        <f>SUM(Matrix!AZ20,Matrix!BC20)</f>
        <v>5</v>
      </c>
      <c r="H76" s="484">
        <f>SUM(Matrix!BJ20,Matrix!BL20,Matrix!BU20,Matrix!CA20,Matrix!CO20,Matrix!CQ20,Matrix!DB20)</f>
        <v>20</v>
      </c>
      <c r="I76" s="488">
        <f t="shared" si="1"/>
        <v>36</v>
      </c>
      <c r="K76" s="501">
        <f t="shared" si="2"/>
        <v>0.35714285714285715</v>
      </c>
      <c r="L76" s="499">
        <f t="shared" si="3"/>
        <v>0.4</v>
      </c>
      <c r="M76" s="499">
        <f t="shared" si="4"/>
        <v>0.5</v>
      </c>
      <c r="N76" s="491">
        <f t="shared" si="5"/>
        <v>0.60606060606060608</v>
      </c>
      <c r="O76" s="504">
        <f t="shared" si="6"/>
        <v>0.46753246753246752</v>
      </c>
    </row>
    <row r="77" spans="1:15">
      <c r="A77" s="99" t="s">
        <v>1971</v>
      </c>
      <c r="B77" s="541" t="s">
        <v>1491</v>
      </c>
      <c r="C77" s="542"/>
      <c r="D77" s="542"/>
      <c r="E77" s="484">
        <f>SUM(Matrix!L25,Matrix!O25,Matrix!Q25)</f>
        <v>5</v>
      </c>
      <c r="F77" s="484">
        <f>SUM(Matrix!V25,Matrix!AP25,Matrix!AR25)</f>
        <v>5</v>
      </c>
      <c r="G77" s="484">
        <f>SUM(Matrix!AZ25,Matrix!BC25)</f>
        <v>4</v>
      </c>
      <c r="H77" s="484">
        <f>SUM(Matrix!BJ25,Matrix!BL25,Matrix!BU25,Matrix!CA25,Matrix!CO25,Matrix!CQ25,Matrix!DB25)</f>
        <v>18</v>
      </c>
      <c r="I77" s="488">
        <f t="shared" si="1"/>
        <v>32</v>
      </c>
      <c r="K77" s="501">
        <f t="shared" si="2"/>
        <v>0.35714285714285715</v>
      </c>
      <c r="L77" s="499">
        <f t="shared" si="3"/>
        <v>0.33333333333333331</v>
      </c>
      <c r="M77" s="499">
        <f t="shared" si="4"/>
        <v>0.4</v>
      </c>
      <c r="N77" s="499">
        <f t="shared" si="5"/>
        <v>0.54545454545454541</v>
      </c>
      <c r="O77" s="504">
        <f t="shared" si="6"/>
        <v>0.41558441558441561</v>
      </c>
    </row>
    <row r="78" spans="1:15" ht="15" thickBot="1">
      <c r="A78" s="435" t="s">
        <v>1971</v>
      </c>
      <c r="B78" s="543" t="s">
        <v>1405</v>
      </c>
      <c r="C78" s="544"/>
      <c r="D78" s="544"/>
      <c r="E78" s="486">
        <f>SUM(Matrix!L23,Matrix!O23,Matrix!Q23)</f>
        <v>5</v>
      </c>
      <c r="F78" s="486">
        <f>SUM(Matrix!V23,Matrix!AP23,Matrix!AR23)</f>
        <v>9</v>
      </c>
      <c r="G78" s="486">
        <f>SUM(Matrix!AZ23,Matrix!BC23)</f>
        <v>2</v>
      </c>
      <c r="H78" s="486">
        <f>SUM(Matrix!BJ23,Matrix!BL23,Matrix!BU23,Matrix!CA23,Matrix!CO23,Matrix!CQ23,Matrix!DB23)</f>
        <v>14</v>
      </c>
      <c r="I78" s="489">
        <f t="shared" si="1"/>
        <v>30</v>
      </c>
      <c r="K78" s="502">
        <f t="shared" si="2"/>
        <v>0.35714285714285715</v>
      </c>
      <c r="L78" s="493">
        <f t="shared" si="3"/>
        <v>0.6</v>
      </c>
      <c r="M78" s="500">
        <f t="shared" si="4"/>
        <v>0.2</v>
      </c>
      <c r="N78" s="500">
        <f t="shared" si="5"/>
        <v>0.42424242424242425</v>
      </c>
      <c r="O78" s="505">
        <f t="shared" si="6"/>
        <v>0.38961038961038963</v>
      </c>
    </row>
  </sheetData>
  <sortState ref="A29:D51">
    <sortCondition ref="D29:D51"/>
  </sortState>
  <mergeCells count="39">
    <mergeCell ref="A1:H1"/>
    <mergeCell ref="A28:E28"/>
    <mergeCell ref="B55:D55"/>
    <mergeCell ref="A54:D54"/>
    <mergeCell ref="K54:O54"/>
    <mergeCell ref="I22:I25"/>
    <mergeCell ref="I19:I21"/>
    <mergeCell ref="I3:I8"/>
    <mergeCell ref="I9:I13"/>
    <mergeCell ref="I14:I15"/>
    <mergeCell ref="I16:I18"/>
    <mergeCell ref="E44:E50"/>
    <mergeCell ref="E29:E32"/>
    <mergeCell ref="E33:E36"/>
    <mergeCell ref="E37:E43"/>
    <mergeCell ref="A53:O53"/>
    <mergeCell ref="B56:D56"/>
    <mergeCell ref="B57:D57"/>
    <mergeCell ref="B69:D69"/>
    <mergeCell ref="B58:D58"/>
    <mergeCell ref="B59:D59"/>
    <mergeCell ref="B60:D60"/>
    <mergeCell ref="B61:D61"/>
    <mergeCell ref="B62:D62"/>
    <mergeCell ref="B63:D63"/>
    <mergeCell ref="B64:D64"/>
    <mergeCell ref="B65:D65"/>
    <mergeCell ref="B66:D66"/>
    <mergeCell ref="B67:D67"/>
    <mergeCell ref="B68:D68"/>
    <mergeCell ref="B76:D76"/>
    <mergeCell ref="B77:D77"/>
    <mergeCell ref="B78:D78"/>
    <mergeCell ref="B70:D70"/>
    <mergeCell ref="B71:D71"/>
    <mergeCell ref="B72:D72"/>
    <mergeCell ref="B73:D73"/>
    <mergeCell ref="B74:D74"/>
    <mergeCell ref="B75:D75"/>
  </mergeCells>
  <printOptions horizontalCentered="1"/>
  <pageMargins left="0.7" right="0.7" top="0.75" bottom="0.75" header="0.3" footer="0.3"/>
  <pageSetup paperSize="3" scale="87" orientation="portrait" horizontalDpi="300" verticalDpi="300"/>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FF00"/>
    <pageSetUpPr fitToPage="1"/>
  </sheetPr>
  <dimension ref="A1:M74"/>
  <sheetViews>
    <sheetView zoomScale="90" zoomScaleNormal="90" zoomScalePageLayoutView="90" workbookViewId="0">
      <selection activeCell="A2" sqref="A2:J2"/>
    </sheetView>
  </sheetViews>
  <sheetFormatPr baseColWidth="10" defaultColWidth="8.83203125" defaultRowHeight="14" x14ac:dyDescent="0"/>
  <cols>
    <col min="1" max="1" width="12.83203125" customWidth="1"/>
    <col min="2" max="2" width="9.6640625" customWidth="1"/>
    <col min="3" max="3" width="10.1640625" customWidth="1"/>
    <col min="4" max="4" width="9.5" customWidth="1"/>
    <col min="5" max="5" width="7" customWidth="1"/>
    <col min="6" max="6" width="1.6640625" customWidth="1"/>
    <col min="7" max="7" width="11.6640625" customWidth="1"/>
    <col min="8" max="8" width="11.5" customWidth="1"/>
    <col min="9" max="10" width="9.1640625" customWidth="1"/>
  </cols>
  <sheetData>
    <row r="1" spans="1:13" ht="20">
      <c r="A1" s="563" t="s">
        <v>2885</v>
      </c>
      <c r="B1" s="564"/>
      <c r="C1" s="564"/>
      <c r="D1" s="564"/>
      <c r="E1" s="564"/>
      <c r="F1" s="564"/>
      <c r="G1" s="564"/>
      <c r="H1" s="564"/>
      <c r="I1" s="564"/>
      <c r="J1" s="565"/>
      <c r="K1" s="423"/>
      <c r="L1" s="423"/>
      <c r="M1" s="423"/>
    </row>
    <row r="2" spans="1:13" ht="21.75" customHeight="1" thickBot="1">
      <c r="A2" s="566" t="s">
        <v>3071</v>
      </c>
      <c r="B2" s="567"/>
      <c r="C2" s="567"/>
      <c r="D2" s="567"/>
      <c r="E2" s="567"/>
      <c r="F2" s="567"/>
      <c r="G2" s="567"/>
      <c r="H2" s="567"/>
      <c r="I2" s="567"/>
      <c r="J2" s="568"/>
      <c r="K2" s="424"/>
      <c r="L2" s="424"/>
      <c r="M2" s="424"/>
    </row>
    <row r="3" spans="1:13" ht="15" thickBot="1">
      <c r="G3" s="569" t="s">
        <v>2933</v>
      </c>
      <c r="H3" s="570"/>
      <c r="I3" s="570"/>
      <c r="J3" s="154">
        <f>B29+B33+B56+B20+B48+C62+H10+H17+H73+B73+B40+H54+H43+H25+H49+H33</f>
        <v>77</v>
      </c>
    </row>
    <row r="4" spans="1:13" ht="15" thickBot="1">
      <c r="A4" s="581" t="s">
        <v>2932</v>
      </c>
      <c r="B4" s="582"/>
      <c r="C4" s="583"/>
      <c r="D4" s="98"/>
      <c r="E4" s="98"/>
      <c r="F4" s="98"/>
    </row>
    <row r="5" spans="1:13" ht="15" thickBot="1">
      <c r="A5" s="579" t="s">
        <v>2894</v>
      </c>
      <c r="B5" s="580"/>
      <c r="C5" s="150">
        <v>37240</v>
      </c>
      <c r="G5" s="607" t="s">
        <v>3032</v>
      </c>
      <c r="H5" s="608"/>
      <c r="I5" s="608"/>
      <c r="J5" s="609"/>
    </row>
    <row r="6" spans="1:13" ht="15" thickBot="1">
      <c r="A6" s="299"/>
      <c r="B6" s="299"/>
      <c r="C6" s="300"/>
      <c r="G6" s="125" t="s">
        <v>2841</v>
      </c>
      <c r="H6" s="320" t="s">
        <v>2784</v>
      </c>
      <c r="I6" s="610" t="s">
        <v>2895</v>
      </c>
      <c r="J6" s="601"/>
    </row>
    <row r="7" spans="1:13" ht="16" thickTop="1" thickBot="1">
      <c r="A7" s="584" t="s">
        <v>3064</v>
      </c>
      <c r="B7" s="585"/>
      <c r="C7" s="586"/>
      <c r="G7" s="115" t="s">
        <v>2921</v>
      </c>
      <c r="H7" s="107">
        <v>0</v>
      </c>
      <c r="I7" s="140">
        <f>MAX(Matrix!BI$3:BI$25)</f>
        <v>2013</v>
      </c>
      <c r="J7" s="118" t="s">
        <v>2890</v>
      </c>
    </row>
    <row r="8" spans="1:13" ht="15" thickBot="1">
      <c r="A8" s="587" t="s">
        <v>2895</v>
      </c>
      <c r="B8" s="588"/>
      <c r="C8" s="589"/>
      <c r="G8" s="131" t="s">
        <v>2919</v>
      </c>
      <c r="H8" s="107">
        <v>1</v>
      </c>
      <c r="I8" s="140">
        <f>MIN(Matrix!BI$3:BI$25)</f>
        <v>1997</v>
      </c>
      <c r="J8" s="113" t="s">
        <v>2891</v>
      </c>
    </row>
    <row r="9" spans="1:13" ht="15" thickTop="1">
      <c r="A9" s="590">
        <f>MAX(Matrix!M3:M25)</f>
        <v>35313</v>
      </c>
      <c r="B9" s="591"/>
      <c r="C9" s="118" t="s">
        <v>2890</v>
      </c>
      <c r="G9" s="131" t="s">
        <v>2920</v>
      </c>
      <c r="H9" s="107">
        <v>3</v>
      </c>
      <c r="I9" s="140">
        <f>AVERAGE(Matrix!BI$3:BI$25)</f>
        <v>2006.0869565217392</v>
      </c>
      <c r="J9" s="113" t="s">
        <v>2892</v>
      </c>
    </row>
    <row r="10" spans="1:13" ht="15" thickBot="1">
      <c r="A10" s="592">
        <f>MIN(Matrix!M3:M25)</f>
        <v>20038</v>
      </c>
      <c r="B10" s="593"/>
      <c r="C10" s="113" t="s">
        <v>2891</v>
      </c>
      <c r="G10" s="116" t="s">
        <v>2918</v>
      </c>
      <c r="H10" s="283">
        <v>5</v>
      </c>
      <c r="I10" s="141">
        <f>MEDIAN(Matrix!BI$3:BI$25)</f>
        <v>2007</v>
      </c>
      <c r="J10" s="114" t="s">
        <v>2893</v>
      </c>
    </row>
    <row r="11" spans="1:13" ht="15" thickBot="1">
      <c r="A11" s="592">
        <f>AVERAGE(Matrix!M3:M25)</f>
        <v>26742.739130434784</v>
      </c>
      <c r="B11" s="593"/>
      <c r="C11" s="113" t="s">
        <v>2892</v>
      </c>
    </row>
    <row r="12" spans="1:13" ht="15" thickBot="1">
      <c r="A12" s="594">
        <f>MEDIAN(Matrix!M3:M25)</f>
        <v>26579</v>
      </c>
      <c r="B12" s="595"/>
      <c r="C12" s="114" t="s">
        <v>2893</v>
      </c>
      <c r="G12" s="607" t="s">
        <v>3191</v>
      </c>
      <c r="H12" s="608"/>
      <c r="I12" s="608"/>
      <c r="J12" s="609"/>
    </row>
    <row r="13" spans="1:13" ht="15" thickBot="1">
      <c r="A13" s="299"/>
      <c r="B13" s="299"/>
      <c r="C13" s="300"/>
      <c r="G13" s="125" t="s">
        <v>2841</v>
      </c>
      <c r="H13" s="144" t="s">
        <v>2784</v>
      </c>
      <c r="I13" s="574" t="s">
        <v>2895</v>
      </c>
      <c r="J13" s="575"/>
    </row>
    <row r="14" spans="1:13" ht="16" thickTop="1" thickBot="1">
      <c r="A14" s="576" t="s">
        <v>2896</v>
      </c>
      <c r="B14" s="577"/>
      <c r="C14" s="577"/>
      <c r="D14" s="578"/>
      <c r="G14" s="131" t="s">
        <v>3056</v>
      </c>
      <c r="H14" s="107">
        <v>0</v>
      </c>
      <c r="I14" s="145">
        <f>MAX(Matrix!BK$3:BK$25)</f>
        <v>2.0101170475944317E-2</v>
      </c>
      <c r="J14" s="118" t="s">
        <v>2890</v>
      </c>
    </row>
    <row r="15" spans="1:13" ht="15" thickBot="1">
      <c r="A15" s="133" t="s">
        <v>2841</v>
      </c>
      <c r="B15" s="320" t="s">
        <v>2784</v>
      </c>
      <c r="C15" s="596" t="s">
        <v>2895</v>
      </c>
      <c r="D15" s="597"/>
      <c r="G15" s="131" t="s">
        <v>2923</v>
      </c>
      <c r="H15" s="107">
        <v>1</v>
      </c>
      <c r="I15" s="145">
        <f>MIN(Matrix!BK$3:BK$25)</f>
        <v>4.5780558522813975E-3</v>
      </c>
      <c r="J15" s="113" t="s">
        <v>2891</v>
      </c>
    </row>
    <row r="16" spans="1:13" ht="15" thickTop="1">
      <c r="A16" s="126" t="s">
        <v>3054</v>
      </c>
      <c r="B16" s="137">
        <v>0</v>
      </c>
      <c r="C16" s="142">
        <f>MAX(Matrix!K$3:K$25)</f>
        <v>0.94915254237288138</v>
      </c>
      <c r="D16" s="118" t="s">
        <v>2890</v>
      </c>
      <c r="G16" s="131" t="s">
        <v>2925</v>
      </c>
      <c r="H16" s="107">
        <v>2</v>
      </c>
      <c r="I16" s="145">
        <f>AVERAGE(Matrix!BK$3:BK$25)</f>
        <v>1.0625532237044131E-2</v>
      </c>
      <c r="J16" s="113" t="s">
        <v>2892</v>
      </c>
    </row>
    <row r="17" spans="1:10" ht="15" thickBot="1">
      <c r="A17" s="115" t="s">
        <v>2899</v>
      </c>
      <c r="B17" s="107">
        <v>1</v>
      </c>
      <c r="C17" s="142">
        <f>MIN(Matrix!K$3:K$25)</f>
        <v>0.17687074829931973</v>
      </c>
      <c r="D17" s="113" t="s">
        <v>2891</v>
      </c>
      <c r="G17" s="116" t="s">
        <v>2924</v>
      </c>
      <c r="H17" s="138">
        <v>5</v>
      </c>
      <c r="I17" s="146">
        <f>MEDIAN(Matrix!BK$3:BK$25)</f>
        <v>1.0042305479405694E-2</v>
      </c>
      <c r="J17" s="114" t="s">
        <v>2893</v>
      </c>
    </row>
    <row r="18" spans="1:10" ht="15" thickBot="1">
      <c r="A18" s="115" t="s">
        <v>2898</v>
      </c>
      <c r="B18" s="107">
        <v>2</v>
      </c>
      <c r="C18" s="142">
        <f>AVERAGE(Matrix!K$3:K$25)</f>
        <v>0.6020412493516436</v>
      </c>
      <c r="D18" s="113" t="s">
        <v>2892</v>
      </c>
    </row>
    <row r="19" spans="1:10" ht="15" thickBot="1">
      <c r="A19" s="115" t="s">
        <v>2897</v>
      </c>
      <c r="B19" s="107">
        <v>3</v>
      </c>
      <c r="C19" s="303">
        <f>MEDIAN(Matrix!K$3:K$25)</f>
        <v>0.60153994225216556</v>
      </c>
      <c r="D19" s="302" t="s">
        <v>2893</v>
      </c>
      <c r="G19" s="571" t="s">
        <v>3024</v>
      </c>
      <c r="H19" s="572"/>
      <c r="I19" s="572"/>
      <c r="J19" s="573"/>
    </row>
    <row r="20" spans="1:10" ht="15" thickBot="1">
      <c r="A20" s="116" t="s">
        <v>3055</v>
      </c>
      <c r="B20" s="138">
        <v>5</v>
      </c>
      <c r="C20" s="304"/>
      <c r="D20" s="305"/>
      <c r="G20" s="133" t="s">
        <v>2841</v>
      </c>
      <c r="H20" s="147" t="s">
        <v>2784</v>
      </c>
      <c r="I20" s="574" t="s">
        <v>2895</v>
      </c>
      <c r="J20" s="575"/>
    </row>
    <row r="21" spans="1:10" ht="16" thickTop="1" thickBot="1">
      <c r="F21" s="124"/>
      <c r="G21" s="328" t="s">
        <v>3187</v>
      </c>
      <c r="H21" s="325">
        <v>0</v>
      </c>
      <c r="I21" s="140"/>
      <c r="J21" s="113"/>
    </row>
    <row r="22" spans="1:10" ht="15" thickBot="1">
      <c r="A22" s="576" t="s">
        <v>3063</v>
      </c>
      <c r="B22" s="577"/>
      <c r="C22" s="577"/>
      <c r="D22" s="578"/>
      <c r="F22" s="117"/>
      <c r="G22" s="193" t="s">
        <v>3188</v>
      </c>
      <c r="H22" s="326">
        <v>2</v>
      </c>
      <c r="I22" s="145">
        <f>MAX(Matrix!BT$3:BT$25)</f>
        <v>0.72482063117051931</v>
      </c>
      <c r="J22" s="118" t="s">
        <v>2890</v>
      </c>
    </row>
    <row r="23" spans="1:10" ht="15" thickBot="1">
      <c r="A23" s="133" t="s">
        <v>2841</v>
      </c>
      <c r="B23" s="147" t="s">
        <v>2784</v>
      </c>
      <c r="C23" s="598" t="s">
        <v>2895</v>
      </c>
      <c r="D23" s="599"/>
      <c r="F23" s="117"/>
      <c r="G23" s="193" t="s">
        <v>3189</v>
      </c>
      <c r="H23" s="326">
        <v>3</v>
      </c>
      <c r="I23" s="145">
        <f>MIN(Matrix!BT$3:BT$25)</f>
        <v>0.17042076890199928</v>
      </c>
      <c r="J23" s="113" t="s">
        <v>2891</v>
      </c>
    </row>
    <row r="24" spans="1:10" ht="15" thickTop="1">
      <c r="A24" s="115" t="s">
        <v>3026</v>
      </c>
      <c r="B24" s="107">
        <v>0</v>
      </c>
      <c r="C24" s="142">
        <f>MAX(Matrix!N$3:N$25)</f>
        <v>0.94825456498388827</v>
      </c>
      <c r="D24" s="118" t="s">
        <v>2890</v>
      </c>
      <c r="F24" s="117"/>
      <c r="G24" s="193" t="s">
        <v>3190</v>
      </c>
      <c r="H24" s="326">
        <v>4</v>
      </c>
      <c r="I24" s="145">
        <f>AVERAGE(Matrix!BT$3:BT$25)</f>
        <v>0.36538767867148392</v>
      </c>
      <c r="J24" s="113" t="s">
        <v>2892</v>
      </c>
    </row>
    <row r="25" spans="1:10" ht="15" thickBot="1">
      <c r="A25" s="115" t="s">
        <v>3027</v>
      </c>
      <c r="B25" s="107">
        <v>1</v>
      </c>
      <c r="C25" s="149">
        <f>MIN(Matrix!N$3:N$25)</f>
        <v>0.53807733619763698</v>
      </c>
      <c r="D25" s="113" t="s">
        <v>2891</v>
      </c>
      <c r="F25" s="117"/>
      <c r="G25" s="192" t="s">
        <v>3054</v>
      </c>
      <c r="H25" s="327">
        <v>5</v>
      </c>
      <c r="I25" s="329">
        <f>MEDIAN(Matrix!BT$3:BT$25)</f>
        <v>0.39090957715263758</v>
      </c>
      <c r="J25" s="114" t="s">
        <v>2893</v>
      </c>
    </row>
    <row r="26" spans="1:10" ht="15" thickBot="1">
      <c r="A26" s="115" t="s">
        <v>3028</v>
      </c>
      <c r="B26" s="107">
        <v>2</v>
      </c>
      <c r="C26" s="149">
        <f>AVERAGE(Matrix!N$3:N$25)</f>
        <v>0.71811866623079446</v>
      </c>
      <c r="D26" s="113" t="s">
        <v>2892</v>
      </c>
      <c r="F26" s="117"/>
    </row>
    <row r="27" spans="1:10" ht="15" thickBot="1">
      <c r="A27" s="115" t="s">
        <v>3029</v>
      </c>
      <c r="B27" s="107">
        <v>3</v>
      </c>
      <c r="C27" s="301">
        <f>MEDIAN(Matrix!N$3:N$25)</f>
        <v>0.7137218045112782</v>
      </c>
      <c r="D27" s="302" t="s">
        <v>2893</v>
      </c>
      <c r="F27" s="117"/>
      <c r="G27" s="571" t="s">
        <v>3212</v>
      </c>
      <c r="H27" s="572"/>
      <c r="I27" s="572"/>
      <c r="J27" s="573"/>
    </row>
    <row r="28" spans="1:10" ht="15" thickBot="1">
      <c r="A28" s="115" t="s">
        <v>3030</v>
      </c>
      <c r="B28" s="107">
        <v>4</v>
      </c>
      <c r="C28" s="306"/>
      <c r="D28" s="307"/>
      <c r="F28" s="117"/>
      <c r="G28" s="133" t="s">
        <v>2841</v>
      </c>
      <c r="H28" s="147" t="s">
        <v>2784</v>
      </c>
      <c r="I28" s="574" t="s">
        <v>3213</v>
      </c>
      <c r="J28" s="575"/>
    </row>
    <row r="29" spans="1:10" ht="16" thickTop="1" thickBot="1">
      <c r="A29" s="116" t="s">
        <v>3031</v>
      </c>
      <c r="B29" s="138">
        <v>5</v>
      </c>
      <c r="C29" s="308"/>
      <c r="D29" s="309"/>
      <c r="F29" s="117"/>
      <c r="G29" s="328" t="s">
        <v>3210</v>
      </c>
      <c r="H29" s="325">
        <v>0</v>
      </c>
      <c r="I29" s="457"/>
      <c r="J29" s="113"/>
    </row>
    <row r="30" spans="1:10" ht="15" thickBot="1">
      <c r="G30" s="193" t="s">
        <v>3211</v>
      </c>
      <c r="H30" s="326">
        <v>2</v>
      </c>
      <c r="I30" s="467">
        <v>115</v>
      </c>
      <c r="J30" s="118" t="s">
        <v>2890</v>
      </c>
    </row>
    <row r="31" spans="1:10" ht="15" thickBot="1">
      <c r="A31" s="576" t="s">
        <v>2842</v>
      </c>
      <c r="B31" s="577"/>
      <c r="C31" s="577"/>
      <c r="D31" s="578"/>
      <c r="G31" s="193" t="s">
        <v>3209</v>
      </c>
      <c r="H31" s="326">
        <v>3</v>
      </c>
      <c r="I31" s="467">
        <v>0</v>
      </c>
      <c r="J31" s="113" t="s">
        <v>2891</v>
      </c>
    </row>
    <row r="32" spans="1:10" ht="15" thickBot="1">
      <c r="A32" s="133" t="s">
        <v>2841</v>
      </c>
      <c r="B32" s="280" t="s">
        <v>2784</v>
      </c>
      <c r="C32" s="600" t="s">
        <v>2895</v>
      </c>
      <c r="D32" s="601"/>
      <c r="G32" s="193" t="s">
        <v>3208</v>
      </c>
      <c r="H32" s="326">
        <v>4</v>
      </c>
      <c r="I32" s="467">
        <v>11</v>
      </c>
      <c r="J32" s="113" t="s">
        <v>2892</v>
      </c>
    </row>
    <row r="33" spans="1:10" ht="16" thickTop="1" thickBot="1">
      <c r="A33" s="134" t="s">
        <v>3065</v>
      </c>
      <c r="B33" s="281">
        <v>4</v>
      </c>
      <c r="C33" s="284">
        <f>MAX(Matrix!P$3:P$25)</f>
        <v>0.68400000000000005</v>
      </c>
      <c r="D33" s="118" t="s">
        <v>2890</v>
      </c>
      <c r="G33" s="192" t="s">
        <v>2878</v>
      </c>
      <c r="H33" s="327">
        <v>5</v>
      </c>
      <c r="I33" s="468">
        <v>3</v>
      </c>
      <c r="J33" s="114" t="s">
        <v>2893</v>
      </c>
    </row>
    <row r="34" spans="1:10">
      <c r="A34" s="115" t="s">
        <v>2782</v>
      </c>
      <c r="B34" s="282">
        <v>3</v>
      </c>
      <c r="C34" s="284">
        <f>MIN(Matrix!P$3:P$25)</f>
        <v>0.39200000000000002</v>
      </c>
      <c r="D34" s="113" t="s">
        <v>2891</v>
      </c>
    </row>
    <row r="35" spans="1:10">
      <c r="A35" s="115" t="s">
        <v>2783</v>
      </c>
      <c r="B35" s="282">
        <v>2</v>
      </c>
      <c r="C35" s="284">
        <f>AVERAGE(Matrix!P$3:P$25)</f>
        <v>0.50618260869565201</v>
      </c>
      <c r="D35" s="113" t="s">
        <v>2892</v>
      </c>
    </row>
    <row r="36" spans="1:10" ht="15" thickBot="1">
      <c r="A36" s="116" t="s">
        <v>3066</v>
      </c>
      <c r="B36" s="283">
        <v>1</v>
      </c>
      <c r="C36" s="324">
        <f>MEDIAN(Matrix!P$3:P$25)</f>
        <v>0.5</v>
      </c>
      <c r="D36" s="114" t="s">
        <v>2893</v>
      </c>
    </row>
    <row r="37" spans="1:10" ht="15" thickBot="1">
      <c r="G37" s="571" t="s">
        <v>3022</v>
      </c>
      <c r="H37" s="572"/>
      <c r="I37" s="572"/>
      <c r="J37" s="573"/>
    </row>
    <row r="38" spans="1:10" ht="15" thickBot="1">
      <c r="A38" s="561" t="s">
        <v>3185</v>
      </c>
      <c r="B38" s="562"/>
      <c r="G38" s="133" t="s">
        <v>2841</v>
      </c>
      <c r="H38" s="147" t="s">
        <v>2784</v>
      </c>
      <c r="I38" s="574" t="s">
        <v>2895</v>
      </c>
      <c r="J38" s="575"/>
    </row>
    <row r="39" spans="1:10" ht="16" thickTop="1" thickBot="1">
      <c r="A39" s="315" t="s">
        <v>2841</v>
      </c>
      <c r="B39" s="311" t="s">
        <v>2784</v>
      </c>
      <c r="G39" s="328" t="s">
        <v>3057</v>
      </c>
      <c r="H39" s="325">
        <v>0</v>
      </c>
      <c r="I39" s="140"/>
      <c r="J39" s="113"/>
    </row>
    <row r="40" spans="1:10" ht="15" thickTop="1">
      <c r="A40" s="316" t="s">
        <v>2816</v>
      </c>
      <c r="B40" s="312">
        <v>5</v>
      </c>
      <c r="G40" s="119" t="s">
        <v>3059</v>
      </c>
      <c r="H40" s="326">
        <v>2</v>
      </c>
      <c r="I40" s="148">
        <f>MAX(Matrix!CN$3:CN$25)</f>
        <v>374.01684210526315</v>
      </c>
      <c r="J40" s="118" t="s">
        <v>2890</v>
      </c>
    </row>
    <row r="41" spans="1:10">
      <c r="A41" s="317" t="s">
        <v>1972</v>
      </c>
      <c r="B41" s="313">
        <v>4</v>
      </c>
      <c r="F41" s="129"/>
      <c r="G41" s="119" t="s">
        <v>3060</v>
      </c>
      <c r="H41" s="326">
        <v>3</v>
      </c>
      <c r="I41" s="148">
        <f>MIN(Matrix!CN$3:CN$25)</f>
        <v>150.69499999999999</v>
      </c>
      <c r="J41" s="113" t="s">
        <v>2891</v>
      </c>
    </row>
    <row r="42" spans="1:10">
      <c r="A42" s="317" t="s">
        <v>2800</v>
      </c>
      <c r="B42" s="313">
        <v>2</v>
      </c>
      <c r="F42" s="117"/>
      <c r="G42" s="119" t="s">
        <v>3061</v>
      </c>
      <c r="H42" s="326">
        <v>4</v>
      </c>
      <c r="I42" s="148">
        <f>AVERAGE(Matrix!CN$3:CN$25)</f>
        <v>218.39987511033735</v>
      </c>
      <c r="J42" s="113" t="s">
        <v>2892</v>
      </c>
    </row>
    <row r="43" spans="1:10" ht="15" thickBot="1">
      <c r="A43" s="317" t="s">
        <v>2810</v>
      </c>
      <c r="B43" s="313">
        <v>1</v>
      </c>
      <c r="F43" s="117"/>
      <c r="G43" s="192" t="s">
        <v>3058</v>
      </c>
      <c r="H43" s="327">
        <v>5</v>
      </c>
      <c r="I43" s="285">
        <f>MEDIAN(Matrix!CN$3:CN$25)</f>
        <v>203.51011673151751</v>
      </c>
      <c r="J43" s="114" t="s">
        <v>2893</v>
      </c>
    </row>
    <row r="44" spans="1:10" ht="15" thickBot="1">
      <c r="A44" s="319" t="s">
        <v>2965</v>
      </c>
      <c r="B44" s="314">
        <v>0</v>
      </c>
      <c r="C44" s="310"/>
      <c r="F44" s="117"/>
    </row>
    <row r="45" spans="1:10" ht="15" thickBot="1">
      <c r="A45" s="121"/>
      <c r="B45" s="121"/>
      <c r="C45" s="122"/>
      <c r="G45" s="607" t="s">
        <v>3070</v>
      </c>
      <c r="H45" s="608"/>
      <c r="I45" s="608"/>
      <c r="J45" s="609"/>
    </row>
    <row r="46" spans="1:10" ht="15" thickBot="1">
      <c r="A46" s="626" t="s">
        <v>2886</v>
      </c>
      <c r="B46" s="630"/>
      <c r="C46" s="630"/>
      <c r="D46" s="627"/>
      <c r="G46" s="125" t="s">
        <v>2841</v>
      </c>
      <c r="H46" s="320" t="s">
        <v>2784</v>
      </c>
      <c r="I46" s="617" t="s">
        <v>2895</v>
      </c>
      <c r="J46" s="575"/>
    </row>
    <row r="47" spans="1:10" ht="15" thickBot="1">
      <c r="A47" s="133" t="s">
        <v>2841</v>
      </c>
      <c r="B47" s="320" t="s">
        <v>2784</v>
      </c>
      <c r="C47" s="631" t="s">
        <v>3050</v>
      </c>
      <c r="D47" s="632"/>
      <c r="G47" s="339" t="s">
        <v>2878</v>
      </c>
      <c r="H47" s="337">
        <v>0</v>
      </c>
      <c r="I47" s="336">
        <f>MAX(Matrix!CP$3:CP$25)</f>
        <v>2.8121695299306184</v>
      </c>
      <c r="J47" s="118" t="s">
        <v>2890</v>
      </c>
    </row>
    <row r="48" spans="1:10" ht="15" thickTop="1">
      <c r="A48" s="120" t="s">
        <v>2887</v>
      </c>
      <c r="B48" s="281">
        <v>5</v>
      </c>
      <c r="C48" s="631"/>
      <c r="D48" s="632"/>
      <c r="G48" s="340" t="s">
        <v>3069</v>
      </c>
      <c r="H48" s="335">
        <v>2</v>
      </c>
      <c r="I48" s="336">
        <f>MIN(Matrix!CP$3:CP$25)</f>
        <v>1.2892976562758234</v>
      </c>
      <c r="J48" s="113" t="s">
        <v>2891</v>
      </c>
    </row>
    <row r="49" spans="1:13">
      <c r="A49" s="119" t="s">
        <v>2888</v>
      </c>
      <c r="B49" s="282">
        <v>4</v>
      </c>
      <c r="C49" s="631"/>
      <c r="D49" s="632"/>
      <c r="G49" s="340" t="s">
        <v>3051</v>
      </c>
      <c r="H49" s="335">
        <v>3</v>
      </c>
      <c r="I49" s="336">
        <f>AVERAGE(Matrix!CP$3:CP$25)</f>
        <v>1.7799617922814368</v>
      </c>
      <c r="J49" s="113" t="s">
        <v>2892</v>
      </c>
    </row>
    <row r="50" spans="1:13" ht="15" thickBot="1">
      <c r="A50" s="119" t="s">
        <v>2889</v>
      </c>
      <c r="B50" s="282">
        <v>2</v>
      </c>
      <c r="C50" s="631"/>
      <c r="D50" s="632"/>
      <c r="G50" s="116"/>
      <c r="H50" s="333"/>
      <c r="I50" s="136">
        <f>MEDIAN(Matrix!CP$3:CP$25)</f>
        <v>1.7309509403525132</v>
      </c>
      <c r="J50" s="114" t="s">
        <v>2893</v>
      </c>
    </row>
    <row r="51" spans="1:13" ht="15" thickBot="1">
      <c r="A51" s="331" t="s">
        <v>3062</v>
      </c>
      <c r="B51" s="332">
        <v>0</v>
      </c>
      <c r="C51" s="631"/>
      <c r="D51" s="632"/>
    </row>
    <row r="52" spans="1:13" ht="15" thickBot="1">
      <c r="A52" s="116"/>
      <c r="B52" s="333"/>
      <c r="C52" s="633"/>
      <c r="D52" s="634"/>
      <c r="G52" s="607" t="s">
        <v>2970</v>
      </c>
      <c r="H52" s="609"/>
    </row>
    <row r="53" spans="1:13" ht="15" thickBot="1">
      <c r="G53" s="315" t="s">
        <v>2841</v>
      </c>
      <c r="H53" s="311" t="s">
        <v>2784</v>
      </c>
    </row>
    <row r="54" spans="1:13" ht="16" thickTop="1" thickBot="1">
      <c r="A54" s="626" t="s">
        <v>2883</v>
      </c>
      <c r="B54" s="627"/>
      <c r="G54" s="316" t="s">
        <v>2971</v>
      </c>
      <c r="H54" s="312">
        <v>5</v>
      </c>
    </row>
    <row r="55" spans="1:13" ht="15" thickBot="1">
      <c r="A55" s="315" t="s">
        <v>2841</v>
      </c>
      <c r="B55" s="321" t="s">
        <v>2784</v>
      </c>
      <c r="G55" s="317" t="s">
        <v>2972</v>
      </c>
      <c r="H55" s="313">
        <v>3</v>
      </c>
    </row>
    <row r="56" spans="1:13" ht="15" thickTop="1">
      <c r="A56" s="322" t="s">
        <v>1639</v>
      </c>
      <c r="B56" s="313">
        <v>5</v>
      </c>
      <c r="G56" s="317" t="s">
        <v>2973</v>
      </c>
      <c r="H56" s="313">
        <v>1</v>
      </c>
    </row>
    <row r="57" spans="1:13" ht="15" thickBot="1">
      <c r="A57" s="322" t="s">
        <v>1640</v>
      </c>
      <c r="B57" s="313">
        <v>1</v>
      </c>
      <c r="G57" s="318" t="s">
        <v>2974</v>
      </c>
      <c r="H57" s="314">
        <v>0</v>
      </c>
    </row>
    <row r="58" spans="1:13" ht="15" thickBot="1">
      <c r="A58" s="323" t="s">
        <v>2884</v>
      </c>
      <c r="B58" s="314">
        <v>0</v>
      </c>
    </row>
    <row r="59" spans="1:13" ht="15" thickBot="1">
      <c r="G59" s="602" t="s">
        <v>2975</v>
      </c>
      <c r="H59" s="603"/>
      <c r="I59" s="603"/>
      <c r="J59" s="604"/>
    </row>
    <row r="60" spans="1:13" ht="15" thickBot="1">
      <c r="A60" s="628" t="s">
        <v>2963</v>
      </c>
      <c r="B60" s="629"/>
      <c r="C60" s="629"/>
      <c r="D60" s="629"/>
      <c r="E60" s="629"/>
      <c r="G60" s="469" t="s">
        <v>2841</v>
      </c>
      <c r="H60" s="470" t="s">
        <v>2784</v>
      </c>
      <c r="I60" s="605" t="s">
        <v>2895</v>
      </c>
      <c r="J60" s="606"/>
      <c r="M60" s="127"/>
    </row>
    <row r="61" spans="1:13" ht="16" thickTop="1" thickBot="1">
      <c r="A61" s="341" t="s">
        <v>2841</v>
      </c>
      <c r="B61" s="342" t="s">
        <v>2916</v>
      </c>
      <c r="C61" s="343" t="s">
        <v>2784</v>
      </c>
      <c r="D61" s="624" t="s">
        <v>2895</v>
      </c>
      <c r="E61" s="625"/>
      <c r="G61" s="471" t="s">
        <v>3230</v>
      </c>
      <c r="H61" s="472" t="s">
        <v>2945</v>
      </c>
      <c r="I61" s="473" t="s">
        <v>3033</v>
      </c>
      <c r="J61" s="474">
        <f>J3</f>
        <v>77</v>
      </c>
    </row>
    <row r="62" spans="1:13" ht="15" thickTop="1">
      <c r="A62" s="344" t="s">
        <v>2804</v>
      </c>
      <c r="B62" s="345" t="s">
        <v>3068</v>
      </c>
      <c r="C62" s="330">
        <v>5</v>
      </c>
      <c r="D62" s="346">
        <f>MAX(Matrix!AV3:AV25)</f>
        <v>19.047619047619047</v>
      </c>
      <c r="E62" s="347" t="s">
        <v>2890</v>
      </c>
      <c r="G62" s="475" t="s">
        <v>3231</v>
      </c>
      <c r="H62" s="476" t="s">
        <v>2944</v>
      </c>
      <c r="I62" s="477">
        <f>MAX(Matrix!DC$3:DC$25)</f>
        <v>52</v>
      </c>
      <c r="J62" s="478" t="s">
        <v>2890</v>
      </c>
    </row>
    <row r="63" spans="1:13">
      <c r="A63" s="348" t="s">
        <v>3053</v>
      </c>
      <c r="B63" s="349" t="s">
        <v>3052</v>
      </c>
      <c r="C63" s="287">
        <v>4</v>
      </c>
      <c r="D63" s="350">
        <f>MIN(Matrix!AV$3:AV$25)</f>
        <v>1.2540540540540541</v>
      </c>
      <c r="E63" s="351" t="s">
        <v>2891</v>
      </c>
      <c r="G63" s="475" t="s">
        <v>3232</v>
      </c>
      <c r="H63" s="476" t="s">
        <v>2943</v>
      </c>
      <c r="I63" s="477">
        <f>MIN(Matrix!DC$3:DC$25)</f>
        <v>30</v>
      </c>
      <c r="J63" s="479" t="s">
        <v>2891</v>
      </c>
    </row>
    <row r="64" spans="1:13">
      <c r="A64" s="348" t="s">
        <v>2805</v>
      </c>
      <c r="B64" s="352" t="s">
        <v>3051</v>
      </c>
      <c r="C64" s="287">
        <v>2</v>
      </c>
      <c r="D64" s="350">
        <f>AVERAGE(Matrix!AV$3:AV$25)</f>
        <v>4.70835615088951</v>
      </c>
      <c r="E64" s="351" t="s">
        <v>2892</v>
      </c>
      <c r="G64" s="475" t="s">
        <v>3233</v>
      </c>
      <c r="H64" s="476" t="s">
        <v>2942</v>
      </c>
      <c r="I64" s="477">
        <f>AVERAGE(Matrix!DC$3:DC$25)</f>
        <v>39</v>
      </c>
      <c r="J64" s="479" t="s">
        <v>2892</v>
      </c>
    </row>
    <row r="65" spans="1:10" ht="15" thickBot="1">
      <c r="A65" s="353" t="s">
        <v>2806</v>
      </c>
      <c r="B65" s="354" t="s">
        <v>3067</v>
      </c>
      <c r="C65" s="355">
        <v>0</v>
      </c>
      <c r="D65" s="356">
        <f>MEDIAN(Matrix!AV$3:AV$25)</f>
        <v>2.7428571428571429</v>
      </c>
      <c r="E65" s="357" t="s">
        <v>2893</v>
      </c>
      <c r="G65" s="480" t="s">
        <v>3234</v>
      </c>
      <c r="H65" s="481" t="s">
        <v>2941</v>
      </c>
      <c r="I65" s="482">
        <f>MEDIAN(Matrix!DC$3:DC$25)</f>
        <v>38</v>
      </c>
      <c r="J65" s="483" t="s">
        <v>2893</v>
      </c>
    </row>
    <row r="66" spans="1:10" ht="15" thickBot="1"/>
    <row r="67" spans="1:10" ht="15" thickBot="1">
      <c r="A67" s="618" t="s">
        <v>2955</v>
      </c>
      <c r="B67" s="619"/>
      <c r="C67" s="619"/>
      <c r="D67" s="620"/>
      <c r="G67" s="621" t="s">
        <v>2927</v>
      </c>
      <c r="H67" s="622"/>
      <c r="I67" s="622"/>
      <c r="J67" s="623"/>
    </row>
    <row r="68" spans="1:10" ht="15" thickBot="1">
      <c r="A68" s="125" t="s">
        <v>2841</v>
      </c>
      <c r="B68" s="320" t="s">
        <v>2784</v>
      </c>
      <c r="C68" s="610" t="s">
        <v>2895</v>
      </c>
      <c r="D68" s="601"/>
      <c r="G68" s="133" t="s">
        <v>2841</v>
      </c>
      <c r="H68" s="147" t="s">
        <v>2784</v>
      </c>
      <c r="I68" s="574" t="s">
        <v>2895</v>
      </c>
      <c r="J68" s="575"/>
    </row>
    <row r="69" spans="1:10" ht="15" thickTop="1">
      <c r="A69" s="126" t="s">
        <v>3173</v>
      </c>
      <c r="B69" s="137">
        <v>1</v>
      </c>
      <c r="C69" s="139"/>
      <c r="D69" s="113"/>
      <c r="G69" s="120" t="s">
        <v>2931</v>
      </c>
      <c r="H69" s="135">
        <v>0</v>
      </c>
      <c r="I69" s="140"/>
      <c r="J69" s="113"/>
    </row>
    <row r="70" spans="1:10">
      <c r="A70" s="131" t="s">
        <v>3174</v>
      </c>
      <c r="B70" s="107">
        <v>2</v>
      </c>
      <c r="C70" s="421" t="s">
        <v>3180</v>
      </c>
      <c r="D70" s="118" t="s">
        <v>3182</v>
      </c>
      <c r="G70" s="119" t="s">
        <v>2930</v>
      </c>
      <c r="H70" s="107">
        <v>1</v>
      </c>
      <c r="I70" s="142">
        <f>MAX(Matrix!BP3:BP25)</f>
        <v>1</v>
      </c>
      <c r="J70" s="118" t="s">
        <v>2890</v>
      </c>
    </row>
    <row r="71" spans="1:10">
      <c r="A71" s="131" t="s">
        <v>3175</v>
      </c>
      <c r="B71" s="107">
        <v>3</v>
      </c>
      <c r="C71" s="421" t="s">
        <v>3179</v>
      </c>
      <c r="D71" s="113" t="s">
        <v>2891</v>
      </c>
      <c r="G71" s="119" t="s">
        <v>2929</v>
      </c>
      <c r="H71" s="107">
        <v>3</v>
      </c>
      <c r="I71" s="142">
        <f>MIN(Matrix!BP3:BP25)</f>
        <v>0</v>
      </c>
      <c r="J71" s="113" t="s">
        <v>2891</v>
      </c>
    </row>
    <row r="72" spans="1:10">
      <c r="A72" s="131" t="s">
        <v>3176</v>
      </c>
      <c r="B72" s="107">
        <v>4</v>
      </c>
      <c r="C72" s="421" t="s">
        <v>3181</v>
      </c>
      <c r="D72" s="113" t="s">
        <v>3183</v>
      </c>
      <c r="G72" s="119" t="s">
        <v>2928</v>
      </c>
      <c r="H72" s="107">
        <v>4</v>
      </c>
      <c r="I72" s="142">
        <f>AVERAGE(Matrix!BP3:BP25)</f>
        <v>0.86816079746027974</v>
      </c>
      <c r="J72" s="113" t="s">
        <v>2892</v>
      </c>
    </row>
    <row r="73" spans="1:10" ht="15" thickBot="1">
      <c r="A73" s="416" t="s">
        <v>3177</v>
      </c>
      <c r="B73" s="138">
        <v>5</v>
      </c>
      <c r="C73" s="417" t="s">
        <v>3178</v>
      </c>
      <c r="D73" s="114" t="s">
        <v>2893</v>
      </c>
      <c r="G73" s="132">
        <v>1</v>
      </c>
      <c r="H73" s="138">
        <v>5</v>
      </c>
      <c r="I73" s="143">
        <f>MEDIAN(Matrix!BP3:BP25)</f>
        <v>1</v>
      </c>
      <c r="J73" s="114" t="s">
        <v>2893</v>
      </c>
    </row>
    <row r="74" spans="1:10" ht="15" thickBot="1">
      <c r="A74" s="611" t="s">
        <v>3184</v>
      </c>
      <c r="B74" s="612"/>
      <c r="C74" s="612"/>
      <c r="D74" s="613"/>
      <c r="G74" s="614" t="s">
        <v>3186</v>
      </c>
      <c r="H74" s="615"/>
      <c r="I74" s="615"/>
      <c r="J74" s="616"/>
    </row>
  </sheetData>
  <sortState ref="A79:H101">
    <sortCondition ref="H79:H101"/>
  </sortState>
  <mergeCells count="44">
    <mergeCell ref="A74:D74"/>
    <mergeCell ref="G74:J74"/>
    <mergeCell ref="I46:J46"/>
    <mergeCell ref="G45:J45"/>
    <mergeCell ref="G52:H52"/>
    <mergeCell ref="A67:D67"/>
    <mergeCell ref="C68:D68"/>
    <mergeCell ref="I68:J68"/>
    <mergeCell ref="G67:J67"/>
    <mergeCell ref="D61:E61"/>
    <mergeCell ref="A54:B54"/>
    <mergeCell ref="A60:E60"/>
    <mergeCell ref="A46:D46"/>
    <mergeCell ref="C47:D52"/>
    <mergeCell ref="G37:J37"/>
    <mergeCell ref="I38:J38"/>
    <mergeCell ref="G59:J59"/>
    <mergeCell ref="I60:J60"/>
    <mergeCell ref="G5:J5"/>
    <mergeCell ref="G12:J12"/>
    <mergeCell ref="I13:J13"/>
    <mergeCell ref="I6:J6"/>
    <mergeCell ref="I20:J20"/>
    <mergeCell ref="A14:D14"/>
    <mergeCell ref="C15:D15"/>
    <mergeCell ref="C23:D23"/>
    <mergeCell ref="A31:D31"/>
    <mergeCell ref="C32:D32"/>
    <mergeCell ref="A38:B38"/>
    <mergeCell ref="A1:J1"/>
    <mergeCell ref="A2:J2"/>
    <mergeCell ref="G3:I3"/>
    <mergeCell ref="G27:J27"/>
    <mergeCell ref="I28:J28"/>
    <mergeCell ref="A22:D22"/>
    <mergeCell ref="A5:B5"/>
    <mergeCell ref="A4:C4"/>
    <mergeCell ref="A7:C7"/>
    <mergeCell ref="A8:C8"/>
    <mergeCell ref="A9:B9"/>
    <mergeCell ref="A10:B10"/>
    <mergeCell ref="A11:B11"/>
    <mergeCell ref="A12:B12"/>
    <mergeCell ref="G19:J19"/>
  </mergeCells>
  <printOptions horizontalCentered="1"/>
  <pageMargins left="0.7" right="0.7" top="0.75" bottom="0.75" header="0.3" footer="0.3"/>
  <pageSetup scale="57" orientation="portrait" horizontalDpi="4294967293" verticalDpi="300"/>
  <headerFooter>
    <oddHeader>&amp;RGroWA Infrastructure Analysis</oddHeader>
    <oddFooter>&amp;L&amp;G&amp;C&amp;D&amp;RPage &amp;P / &amp;N</oddFooter>
  </headerFooter>
  <drawing r:id="rId1"/>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rgb="FF00B050"/>
    <pageSetUpPr fitToPage="1"/>
  </sheetPr>
  <dimension ref="A1:O48"/>
  <sheetViews>
    <sheetView workbookViewId="0">
      <pane ySplit="1" topLeftCell="A2" activePane="bottomLeft" state="frozen"/>
      <selection pane="bottomLeft" activeCell="A2" sqref="A2:B2"/>
    </sheetView>
  </sheetViews>
  <sheetFormatPr baseColWidth="10" defaultColWidth="8.83203125" defaultRowHeight="14" x14ac:dyDescent="0"/>
  <cols>
    <col min="1" max="1" width="3.5" style="62" customWidth="1"/>
    <col min="2" max="2" width="128" customWidth="1"/>
    <col min="3" max="3" width="3" customWidth="1"/>
    <col min="4" max="4" width="25" bestFit="1" customWidth="1"/>
    <col min="7" max="7" width="11" customWidth="1"/>
  </cols>
  <sheetData>
    <row r="1" spans="1:15">
      <c r="A1" s="86" t="s">
        <v>2838</v>
      </c>
      <c r="B1" s="96" t="s">
        <v>2837</v>
      </c>
      <c r="D1" s="194" t="s">
        <v>2979</v>
      </c>
      <c r="E1" s="194" t="s">
        <v>2980</v>
      </c>
      <c r="F1" s="194" t="s">
        <v>2981</v>
      </c>
      <c r="G1" s="194" t="s">
        <v>2982</v>
      </c>
      <c r="H1" s="194" t="s">
        <v>2991</v>
      </c>
      <c r="I1" s="194" t="s">
        <v>2992</v>
      </c>
      <c r="J1" s="195"/>
      <c r="K1" s="194" t="s">
        <v>2983</v>
      </c>
      <c r="L1" s="194" t="s">
        <v>2993</v>
      </c>
      <c r="M1" s="194" t="s">
        <v>2994</v>
      </c>
      <c r="N1" s="194" t="s">
        <v>2995</v>
      </c>
    </row>
    <row r="2" spans="1:15">
      <c r="A2" s="635" t="s">
        <v>3170</v>
      </c>
      <c r="B2" s="635"/>
      <c r="D2" s="91" t="s">
        <v>2984</v>
      </c>
      <c r="E2" s="196">
        <v>24083</v>
      </c>
      <c r="F2" s="91">
        <v>1480</v>
      </c>
      <c r="G2" s="197">
        <f>F2*E2</f>
        <v>35642840</v>
      </c>
      <c r="H2" s="91">
        <f>G2/G$6</f>
        <v>0.4822543785215278</v>
      </c>
      <c r="I2" s="91">
        <f>H2*E2</f>
        <v>11614.132197933954</v>
      </c>
      <c r="J2" s="91"/>
      <c r="K2" s="91">
        <v>50.9</v>
      </c>
      <c r="L2" s="91">
        <f>F2*K2</f>
        <v>75332</v>
      </c>
      <c r="M2" s="91">
        <f>L2/L$6</f>
        <v>0.51437873329491346</v>
      </c>
      <c r="N2" s="91">
        <f>M2*K2</f>
        <v>26.181877524711094</v>
      </c>
    </row>
    <row r="3" spans="1:15">
      <c r="A3" s="86"/>
      <c r="D3" s="91" t="s">
        <v>2985</v>
      </c>
      <c r="E3" s="196">
        <v>28693</v>
      </c>
      <c r="F3" s="91">
        <v>806</v>
      </c>
      <c r="G3" s="197">
        <f t="shared" ref="G3:G4" si="0">F3*E3</f>
        <v>23126558</v>
      </c>
      <c r="H3" s="91">
        <f>G3/G$6</f>
        <v>0.31290671157607158</v>
      </c>
      <c r="I3" s="91">
        <f t="shared" ref="I3:I4" si="1">H3*E3</f>
        <v>8978.2322752522214</v>
      </c>
      <c r="J3" s="91"/>
      <c r="K3" s="91">
        <v>53.7</v>
      </c>
      <c r="L3" s="91">
        <f t="shared" ref="L3:L4" si="2">F3*K3</f>
        <v>43282.200000000004</v>
      </c>
      <c r="M3" s="91">
        <f>L3/L$6</f>
        <v>0.2955376627491253</v>
      </c>
      <c r="N3" s="91">
        <f t="shared" ref="N3:N4" si="3">M3*K3</f>
        <v>15.870372489628028</v>
      </c>
    </row>
    <row r="4" spans="1:15">
      <c r="A4" s="96">
        <v>1</v>
      </c>
      <c r="B4" t="s">
        <v>2831</v>
      </c>
      <c r="D4" s="91" t="s">
        <v>2986</v>
      </c>
      <c r="E4" s="196">
        <v>27083</v>
      </c>
      <c r="F4" s="91">
        <v>559</v>
      </c>
      <c r="G4" s="197">
        <f t="shared" si="0"/>
        <v>15139397</v>
      </c>
      <c r="H4" s="91">
        <f>G4/G$6</f>
        <v>0.20483890990240067</v>
      </c>
      <c r="I4" s="91">
        <f t="shared" si="1"/>
        <v>5547.6521968867173</v>
      </c>
      <c r="J4" s="91"/>
      <c r="K4" s="91">
        <v>49.8</v>
      </c>
      <c r="L4" s="91">
        <f t="shared" si="2"/>
        <v>27838.199999999997</v>
      </c>
      <c r="M4" s="91">
        <f>L4/L$6</f>
        <v>0.19008360395596108</v>
      </c>
      <c r="N4" s="91">
        <f t="shared" si="3"/>
        <v>9.4661634770068606</v>
      </c>
    </row>
    <row r="5" spans="1:15">
      <c r="A5" s="96"/>
      <c r="D5" s="91"/>
      <c r="E5" s="196"/>
      <c r="F5" s="91"/>
      <c r="G5" s="197"/>
      <c r="H5" s="91"/>
      <c r="I5" s="91"/>
      <c r="J5" s="91"/>
      <c r="K5" s="91"/>
      <c r="L5" s="91"/>
      <c r="M5" s="91"/>
      <c r="N5" s="91"/>
    </row>
    <row r="6" spans="1:15">
      <c r="A6" s="96">
        <v>2</v>
      </c>
      <c r="B6" s="157" t="s">
        <v>2934</v>
      </c>
      <c r="D6" s="91"/>
      <c r="E6" s="91"/>
      <c r="F6" s="91"/>
      <c r="G6" s="203">
        <f>SUM(G2:G4)</f>
        <v>73908795</v>
      </c>
      <c r="H6" s="204"/>
      <c r="I6" s="205">
        <f>SUM(I2:I4)</f>
        <v>26140.016670072891</v>
      </c>
      <c r="J6" s="206" t="s">
        <v>2987</v>
      </c>
      <c r="K6" s="204"/>
      <c r="L6" s="204">
        <f>SUM(L2:L4)</f>
        <v>146452.40000000002</v>
      </c>
      <c r="M6" s="204"/>
      <c r="N6" s="207">
        <f>SUM(N2:N4)</f>
        <v>51.518413491345981</v>
      </c>
      <c r="O6" s="208" t="s">
        <v>2988</v>
      </c>
    </row>
    <row r="7" spans="1:15">
      <c r="A7" s="96">
        <v>3</v>
      </c>
      <c r="B7" s="157" t="s">
        <v>2996</v>
      </c>
      <c r="D7" s="201"/>
      <c r="E7" s="201"/>
      <c r="F7" s="201"/>
      <c r="G7" s="201"/>
      <c r="H7" s="201"/>
      <c r="I7" s="201"/>
      <c r="J7" s="201"/>
      <c r="K7" s="201"/>
      <c r="L7" s="201"/>
      <c r="M7" s="201"/>
      <c r="N7" s="201"/>
    </row>
    <row r="8" spans="1:15">
      <c r="A8" s="96">
        <v>4</v>
      </c>
      <c r="B8" s="157" t="s">
        <v>2946</v>
      </c>
      <c r="D8" s="91" t="s">
        <v>2989</v>
      </c>
      <c r="E8" s="202">
        <v>23488</v>
      </c>
      <c r="F8" s="91">
        <v>2280</v>
      </c>
      <c r="G8" s="197">
        <f>F8*E8</f>
        <v>53552640</v>
      </c>
      <c r="H8" s="91">
        <f>G8/G$10</f>
        <v>0.83985065039344786</v>
      </c>
      <c r="I8" s="91">
        <f>H8*E8</f>
        <v>19726.412076441302</v>
      </c>
      <c r="J8" s="91"/>
      <c r="K8" s="91">
        <v>53.3</v>
      </c>
      <c r="L8" s="91">
        <f>F8*K8</f>
        <v>121524</v>
      </c>
      <c r="M8" s="91">
        <f>L8/L$10</f>
        <v>0.71984362042412031</v>
      </c>
      <c r="N8" s="91">
        <f>M8*K8</f>
        <v>38.367664968605609</v>
      </c>
    </row>
    <row r="9" spans="1:15">
      <c r="A9" s="96">
        <v>5</v>
      </c>
      <c r="B9" s="157" t="s">
        <v>2948</v>
      </c>
      <c r="D9" s="91" t="s">
        <v>2990</v>
      </c>
      <c r="E9" s="202">
        <v>15956</v>
      </c>
      <c r="F9" s="91">
        <v>640</v>
      </c>
      <c r="G9" s="197">
        <f>F9*E9</f>
        <v>10211840</v>
      </c>
      <c r="H9" s="91">
        <f>G9/G$10</f>
        <v>0.16014934960655211</v>
      </c>
      <c r="I9" s="91">
        <f>H9*E9</f>
        <v>2555.3430223221453</v>
      </c>
      <c r="J9" s="91"/>
      <c r="K9" s="91">
        <v>73.900000000000006</v>
      </c>
      <c r="L9" s="91">
        <f>F9*K9</f>
        <v>47296</v>
      </c>
      <c r="M9" s="91">
        <f>L9/L$10</f>
        <v>0.28015637957587963</v>
      </c>
      <c r="N9" s="91">
        <f>M9*K9</f>
        <v>20.703556450657505</v>
      </c>
    </row>
    <row r="10" spans="1:15">
      <c r="A10" s="96">
        <v>6</v>
      </c>
      <c r="B10" t="s">
        <v>2836</v>
      </c>
      <c r="D10" s="91"/>
      <c r="E10" s="91"/>
      <c r="F10" s="91"/>
      <c r="G10" s="197">
        <f>SUM(G8:G9)</f>
        <v>63764480</v>
      </c>
      <c r="H10" s="91"/>
      <c r="I10" s="198">
        <f>SUM(I8:I9)</f>
        <v>22281.755098763446</v>
      </c>
      <c r="J10" s="199" t="s">
        <v>2987</v>
      </c>
      <c r="K10" s="91"/>
      <c r="L10" s="91">
        <f>SUM(L8:L9)</f>
        <v>168820</v>
      </c>
      <c r="M10" s="91"/>
      <c r="N10" s="200">
        <f>SUM(N8:N9)</f>
        <v>59.071221419263111</v>
      </c>
      <c r="O10" s="158" t="s">
        <v>2988</v>
      </c>
    </row>
    <row r="11" spans="1:15">
      <c r="A11" s="96">
        <v>7</v>
      </c>
      <c r="B11" t="s">
        <v>3012</v>
      </c>
      <c r="D11" s="117"/>
      <c r="E11" s="117"/>
      <c r="F11" s="117"/>
      <c r="G11" s="269"/>
      <c r="H11" s="117"/>
      <c r="I11" s="270"/>
      <c r="J11" s="271"/>
      <c r="K11" s="117"/>
      <c r="L11" s="117"/>
      <c r="M11" s="117"/>
      <c r="N11" s="272"/>
      <c r="O11" s="158"/>
    </row>
    <row r="12" spans="1:15">
      <c r="A12" s="96">
        <v>8</v>
      </c>
      <c r="B12" t="s">
        <v>3007</v>
      </c>
    </row>
    <row r="13" spans="1:15">
      <c r="A13" s="96"/>
    </row>
    <row r="14" spans="1:15">
      <c r="A14" s="96">
        <v>9</v>
      </c>
      <c r="B14" t="s">
        <v>3010</v>
      </c>
      <c r="D14" s="158"/>
    </row>
    <row r="15" spans="1:15">
      <c r="A15" s="96"/>
    </row>
    <row r="16" spans="1:15" s="157" customFormat="1" ht="15" customHeight="1">
      <c r="A16" s="96">
        <v>10</v>
      </c>
      <c r="B16" s="151" t="s">
        <v>2844</v>
      </c>
    </row>
    <row r="17" spans="1:8">
      <c r="A17" s="96">
        <v>11</v>
      </c>
      <c r="B17" s="151" t="s">
        <v>3008</v>
      </c>
      <c r="D17" s="157"/>
    </row>
    <row r="18" spans="1:8" ht="15" customHeight="1">
      <c r="A18" s="96">
        <v>12</v>
      </c>
      <c r="B18" s="151" t="s">
        <v>3013</v>
      </c>
      <c r="D18" s="157"/>
    </row>
    <row r="19" spans="1:8">
      <c r="A19" s="96">
        <v>13</v>
      </c>
      <c r="B19" s="151" t="s">
        <v>3014</v>
      </c>
      <c r="D19" s="157"/>
    </row>
    <row r="20" spans="1:8">
      <c r="A20" s="96">
        <v>14</v>
      </c>
      <c r="B20" t="s">
        <v>3239</v>
      </c>
      <c r="D20" s="157"/>
    </row>
    <row r="21" spans="1:8">
      <c r="A21" s="96"/>
      <c r="D21" s="157"/>
    </row>
    <row r="22" spans="1:8">
      <c r="A22" s="96">
        <v>15</v>
      </c>
      <c r="B22" s="97" t="s">
        <v>3005</v>
      </c>
      <c r="D22" s="157"/>
    </row>
    <row r="23" spans="1:8">
      <c r="A23" s="96"/>
      <c r="B23" t="s">
        <v>3009</v>
      </c>
      <c r="D23" s="157"/>
    </row>
    <row r="24" spans="1:8">
      <c r="A24" s="96"/>
      <c r="B24" t="s">
        <v>2966</v>
      </c>
    </row>
    <row r="25" spans="1:8">
      <c r="A25" s="96"/>
      <c r="B25" t="s">
        <v>2967</v>
      </c>
    </row>
    <row r="26" spans="1:8">
      <c r="A26" s="96"/>
      <c r="B26" t="s">
        <v>2968</v>
      </c>
    </row>
    <row r="27" spans="1:8">
      <c r="A27" s="96"/>
      <c r="B27" t="s">
        <v>2969</v>
      </c>
    </row>
    <row r="28" spans="1:8">
      <c r="A28" s="96"/>
    </row>
    <row r="29" spans="1:8">
      <c r="A29" s="96">
        <v>16</v>
      </c>
      <c r="B29" t="s">
        <v>3072</v>
      </c>
    </row>
    <row r="30" spans="1:8">
      <c r="A30" s="293"/>
    </row>
    <row r="31" spans="1:8">
      <c r="A31" s="402" t="s">
        <v>3147</v>
      </c>
      <c r="B31" s="3"/>
      <c r="C31" s="3"/>
      <c r="D31" s="3"/>
      <c r="E31" s="3"/>
      <c r="F31" s="3"/>
      <c r="G31" s="3"/>
      <c r="H31" s="22"/>
    </row>
    <row r="32" spans="1:8">
      <c r="A32" s="161" t="s">
        <v>1973</v>
      </c>
      <c r="B32" s="111" t="s">
        <v>3165</v>
      </c>
      <c r="C32" s="111"/>
      <c r="D32" s="111"/>
      <c r="E32" s="171"/>
      <c r="F32" s="80"/>
      <c r="G32" s="169"/>
    </row>
    <row r="33" spans="1:7">
      <c r="A33" s="99" t="s">
        <v>1971</v>
      </c>
      <c r="B33" s="111" t="s">
        <v>3164</v>
      </c>
      <c r="C33" s="111"/>
      <c r="D33" s="111"/>
      <c r="E33" s="75"/>
      <c r="F33" s="80"/>
      <c r="G33" s="171"/>
    </row>
    <row r="34" spans="1:7">
      <c r="A34" s="67" t="s">
        <v>1971</v>
      </c>
      <c r="B34" s="110" t="s">
        <v>3162</v>
      </c>
      <c r="C34" s="110"/>
      <c r="D34" s="110"/>
      <c r="E34" s="70"/>
      <c r="F34" s="77"/>
      <c r="G34" s="128"/>
    </row>
    <row r="35" spans="1:7">
      <c r="A35" s="67" t="s">
        <v>1971</v>
      </c>
      <c r="B35" s="110" t="s">
        <v>3166</v>
      </c>
      <c r="C35" s="110"/>
      <c r="D35" s="110"/>
      <c r="E35" s="70"/>
      <c r="F35" s="70"/>
      <c r="G35" s="103"/>
    </row>
    <row r="36" spans="1:7">
      <c r="A36" s="67" t="s">
        <v>1971</v>
      </c>
      <c r="B36" s="110" t="s">
        <v>3163</v>
      </c>
      <c r="C36" s="110"/>
      <c r="D36" s="110"/>
      <c r="E36" s="70"/>
      <c r="F36" s="77"/>
      <c r="G36" s="103"/>
    </row>
    <row r="38" spans="1:7">
      <c r="A38"/>
      <c r="B38" s="158" t="s">
        <v>3152</v>
      </c>
    </row>
    <row r="39" spans="1:7">
      <c r="A39">
        <v>1</v>
      </c>
      <c r="B39" s="413" t="s">
        <v>3167</v>
      </c>
    </row>
    <row r="40" spans="1:7">
      <c r="A40" s="157">
        <v>2</v>
      </c>
      <c r="B40" s="413" t="s">
        <v>3159</v>
      </c>
    </row>
    <row r="41" spans="1:7">
      <c r="A41">
        <v>3</v>
      </c>
      <c r="B41" s="413" t="s">
        <v>3171</v>
      </c>
    </row>
    <row r="42" spans="1:7">
      <c r="A42">
        <v>4</v>
      </c>
      <c r="B42" s="157" t="s">
        <v>3011</v>
      </c>
    </row>
    <row r="43" spans="1:7">
      <c r="A43">
        <v>5</v>
      </c>
      <c r="B43" s="413" t="s">
        <v>3160</v>
      </c>
    </row>
    <row r="44" spans="1:7">
      <c r="A44">
        <v>6</v>
      </c>
      <c r="B44" s="413" t="s">
        <v>3168</v>
      </c>
    </row>
    <row r="45" spans="1:7">
      <c r="A45">
        <v>7</v>
      </c>
      <c r="B45" s="157" t="s">
        <v>3172</v>
      </c>
    </row>
    <row r="46" spans="1:7">
      <c r="A46">
        <v>8</v>
      </c>
      <c r="B46" s="157" t="s">
        <v>3015</v>
      </c>
    </row>
    <row r="47" spans="1:7">
      <c r="A47">
        <v>9</v>
      </c>
      <c r="B47" s="157" t="s">
        <v>3016</v>
      </c>
    </row>
    <row r="48" spans="1:7">
      <c r="A48"/>
    </row>
  </sheetData>
  <mergeCells count="1">
    <mergeCell ref="A2:B2"/>
  </mergeCells>
  <printOptions horizontalCentered="1" gridLines="1"/>
  <pageMargins left="0.7" right="0.7" top="0.75" bottom="0.75" header="0.3" footer="0.3"/>
  <pageSetup scale="73" orientation="landscape" horizontalDpi="4294967293" verticalDpi="300"/>
  <headerFooter scaleWithDoc="0" alignWithMargins="0">
    <oddHeader>&amp;RGroWA Infrastructure Analysis</oddHeader>
    <oddFooter>&amp;L&amp;G&amp;C&amp;D&amp;RPage &amp;P / &amp;N</oddFooter>
  </headerFooter>
  <legacyDrawing r:id="rId1"/>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FFFF00"/>
    <pageSetUpPr fitToPage="1"/>
  </sheetPr>
  <dimension ref="A1:C19"/>
  <sheetViews>
    <sheetView workbookViewId="0">
      <selection activeCell="A24" sqref="A24"/>
    </sheetView>
  </sheetViews>
  <sheetFormatPr baseColWidth="10" defaultColWidth="8.83203125" defaultRowHeight="14" x14ac:dyDescent="0"/>
  <cols>
    <col min="1" max="1" width="39.1640625" customWidth="1"/>
    <col min="2" max="2" width="66.83203125" customWidth="1"/>
    <col min="3" max="3" width="55.1640625" customWidth="1"/>
    <col min="4" max="4" width="22.83203125" customWidth="1"/>
  </cols>
  <sheetData>
    <row r="1" spans="1:3" ht="21" thickBot="1">
      <c r="A1" s="636" t="s">
        <v>3158</v>
      </c>
      <c r="B1" s="557"/>
      <c r="C1" s="557"/>
    </row>
    <row r="2" spans="1:3" ht="45" customHeight="1" thickBot="1">
      <c r="A2" s="64" t="s">
        <v>2818</v>
      </c>
      <c r="B2" s="65" t="s">
        <v>2826</v>
      </c>
      <c r="C2" s="63" t="s">
        <v>2820</v>
      </c>
    </row>
    <row r="3" spans="1:3" ht="57" thickBot="1">
      <c r="A3" s="64" t="s">
        <v>2819</v>
      </c>
      <c r="B3" s="65" t="s">
        <v>2829</v>
      </c>
      <c r="C3" s="63" t="s">
        <v>2821</v>
      </c>
    </row>
    <row r="4" spans="1:3" ht="49.5" customHeight="1" thickBot="1">
      <c r="A4" s="64" t="s">
        <v>2823</v>
      </c>
      <c r="B4" s="65" t="s">
        <v>2827</v>
      </c>
      <c r="C4" s="63" t="s">
        <v>2822</v>
      </c>
    </row>
    <row r="5" spans="1:3" ht="99" thickBot="1">
      <c r="A5" s="64" t="s">
        <v>2825</v>
      </c>
      <c r="B5" s="65" t="s">
        <v>2828</v>
      </c>
      <c r="C5" s="63" t="s">
        <v>2824</v>
      </c>
    </row>
    <row r="6" spans="1:3" ht="15" thickBot="1"/>
    <row r="7" spans="1:3" ht="18">
      <c r="A7" s="637" t="s">
        <v>3157</v>
      </c>
      <c r="B7" s="638"/>
    </row>
    <row r="8" spans="1:3">
      <c r="A8" s="429"/>
      <c r="B8" s="430"/>
    </row>
    <row r="9" spans="1:3" ht="19" thickBot="1">
      <c r="A9" s="431" t="s">
        <v>3200</v>
      </c>
      <c r="B9" s="432" t="s">
        <v>3201</v>
      </c>
    </row>
    <row r="10" spans="1:3" ht="15" thickTop="1">
      <c r="A10" s="426"/>
      <c r="B10" s="425"/>
    </row>
    <row r="11" spans="1:3" ht="15">
      <c r="A11" s="433" t="s">
        <v>3192</v>
      </c>
      <c r="B11" s="427" t="s">
        <v>3193</v>
      </c>
    </row>
    <row r="12" spans="1:3" ht="15">
      <c r="A12" s="433"/>
      <c r="B12" s="427"/>
    </row>
    <row r="13" spans="1:3" ht="15">
      <c r="A13" s="433" t="s">
        <v>3098</v>
      </c>
      <c r="B13" s="427" t="s">
        <v>3194</v>
      </c>
    </row>
    <row r="14" spans="1:3" ht="15">
      <c r="A14" s="433"/>
      <c r="B14" s="427"/>
    </row>
    <row r="15" spans="1:3" ht="15">
      <c r="A15" s="433" t="s">
        <v>2819</v>
      </c>
      <c r="B15" s="427" t="s">
        <v>3195</v>
      </c>
    </row>
    <row r="16" spans="1:3" ht="15">
      <c r="A16" s="433"/>
      <c r="B16" s="427"/>
    </row>
    <row r="17" spans="1:2" ht="15">
      <c r="A17" s="433" t="s">
        <v>3196</v>
      </c>
      <c r="B17" s="427" t="s">
        <v>3197</v>
      </c>
    </row>
    <row r="18" spans="1:2" ht="15">
      <c r="A18" s="433"/>
      <c r="B18" s="427"/>
    </row>
    <row r="19" spans="1:2" ht="16" thickBot="1">
      <c r="A19" s="434" t="s">
        <v>3198</v>
      </c>
      <c r="B19" s="428" t="s">
        <v>3199</v>
      </c>
    </row>
  </sheetData>
  <mergeCells count="2">
    <mergeCell ref="A1:C1"/>
    <mergeCell ref="A7:B7"/>
  </mergeCells>
  <pageMargins left="0.7" right="0.7" top="0.75" bottom="0.75" header="0.3" footer="0.3"/>
  <pageSetup scale="75" fitToHeight="0" orientation="landscape" horizontalDpi="4294967293" verticalDpi="300"/>
  <headerFooter>
    <oddHeader>&amp;RGroWA Infrastructure Analysis</oddHeader>
    <oddFooter>&amp;L&amp;G&amp;C&amp;D&amp;RPage &amp;P / &amp;N</oddFooter>
  </headerFooter>
  <legacyDrawingHF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FF00"/>
    <pageSetUpPr fitToPage="1"/>
  </sheetPr>
  <dimension ref="A1:I75"/>
  <sheetViews>
    <sheetView zoomScale="90" zoomScaleNormal="90" zoomScalePageLayoutView="90" workbookViewId="0">
      <pane ySplit="1" topLeftCell="A2" activePane="bottomLeft" state="frozen"/>
      <selection pane="bottomLeft" activeCell="B2" sqref="B2"/>
    </sheetView>
  </sheetViews>
  <sheetFormatPr baseColWidth="10" defaultColWidth="8.83203125" defaultRowHeight="14" x14ac:dyDescent="0"/>
  <cols>
    <col min="1" max="1" width="13.5" hidden="1" customWidth="1"/>
    <col min="2" max="2" width="33.5" customWidth="1"/>
    <col min="3" max="3" width="20" hidden="1" customWidth="1"/>
    <col min="4" max="7" width="9.1640625" style="13" customWidth="1"/>
    <col min="8" max="9" width="8.83203125" style="13"/>
  </cols>
  <sheetData>
    <row r="1" spans="1:9" ht="43" thickBot="1">
      <c r="A1" s="14" t="s">
        <v>7</v>
      </c>
      <c r="B1" s="87" t="s">
        <v>1644</v>
      </c>
      <c r="C1" s="87" t="s">
        <v>1642</v>
      </c>
      <c r="D1" s="87" t="s">
        <v>2785</v>
      </c>
      <c r="E1" s="87" t="s">
        <v>2789</v>
      </c>
      <c r="F1" s="87" t="s">
        <v>2787</v>
      </c>
      <c r="G1" s="87" t="s">
        <v>2788</v>
      </c>
      <c r="H1" s="87" t="s">
        <v>2790</v>
      </c>
      <c r="I1" s="87" t="s">
        <v>2791</v>
      </c>
    </row>
    <row r="2" spans="1:9" ht="15" thickTop="1">
      <c r="A2" t="s">
        <v>1973</v>
      </c>
      <c r="B2" s="89" t="s">
        <v>1058</v>
      </c>
      <c r="C2" s="89" t="s">
        <v>1059</v>
      </c>
      <c r="D2" s="90">
        <v>1</v>
      </c>
      <c r="E2" s="90">
        <v>1</v>
      </c>
      <c r="F2" s="90">
        <v>1</v>
      </c>
      <c r="G2" s="90">
        <v>1</v>
      </c>
      <c r="H2" s="90" t="s">
        <v>2879</v>
      </c>
      <c r="I2" s="90">
        <v>1</v>
      </c>
    </row>
    <row r="3" spans="1:9">
      <c r="A3" t="s">
        <v>1973</v>
      </c>
      <c r="B3" s="89" t="s">
        <v>10</v>
      </c>
      <c r="C3" s="89" t="s">
        <v>15</v>
      </c>
      <c r="D3" s="90">
        <v>1</v>
      </c>
      <c r="E3" s="90">
        <v>1</v>
      </c>
      <c r="F3" s="90">
        <v>1</v>
      </c>
      <c r="G3" s="90">
        <v>1</v>
      </c>
      <c r="H3" s="90">
        <v>1</v>
      </c>
      <c r="I3" s="90"/>
    </row>
    <row r="4" spans="1:9">
      <c r="A4" t="s">
        <v>1973</v>
      </c>
      <c r="B4" s="89" t="s">
        <v>1114</v>
      </c>
      <c r="C4" s="89" t="s">
        <v>160</v>
      </c>
      <c r="D4" s="90">
        <v>1</v>
      </c>
      <c r="E4" s="90">
        <v>1</v>
      </c>
      <c r="F4" s="90">
        <v>1</v>
      </c>
      <c r="G4" s="92"/>
      <c r="H4" s="90">
        <v>1</v>
      </c>
      <c r="I4" s="90"/>
    </row>
    <row r="5" spans="1:9">
      <c r="A5" t="s">
        <v>1973</v>
      </c>
      <c r="B5" s="89" t="s">
        <v>1149</v>
      </c>
      <c r="C5" s="89" t="s">
        <v>1078</v>
      </c>
      <c r="D5" s="90">
        <v>1</v>
      </c>
      <c r="E5" s="90">
        <v>1</v>
      </c>
      <c r="F5" s="90">
        <v>1</v>
      </c>
      <c r="G5" s="90">
        <v>1</v>
      </c>
      <c r="H5" s="90">
        <v>1</v>
      </c>
      <c r="I5" s="90"/>
    </row>
    <row r="6" spans="1:9">
      <c r="A6" t="s">
        <v>1973</v>
      </c>
      <c r="B6" s="89" t="s">
        <v>18</v>
      </c>
      <c r="C6" s="89" t="s">
        <v>23</v>
      </c>
      <c r="D6" s="90">
        <v>1</v>
      </c>
      <c r="E6" s="90">
        <v>1</v>
      </c>
      <c r="F6" s="90">
        <v>1</v>
      </c>
      <c r="G6" s="90">
        <v>1</v>
      </c>
      <c r="H6" s="90">
        <v>1</v>
      </c>
      <c r="I6" s="90"/>
    </row>
    <row r="7" spans="1:9">
      <c r="A7" t="s">
        <v>1973</v>
      </c>
      <c r="B7" s="89" t="s">
        <v>1215</v>
      </c>
      <c r="C7" s="89" t="s">
        <v>169</v>
      </c>
      <c r="D7" s="90">
        <v>1</v>
      </c>
      <c r="E7" s="90">
        <v>1</v>
      </c>
      <c r="F7" s="90">
        <v>1</v>
      </c>
      <c r="G7" s="90">
        <v>1</v>
      </c>
      <c r="H7" s="90">
        <v>1</v>
      </c>
      <c r="I7" s="90"/>
    </row>
    <row r="8" spans="1:9">
      <c r="A8" t="s">
        <v>1973</v>
      </c>
      <c r="B8" s="91" t="s">
        <v>1231</v>
      </c>
      <c r="C8" s="91" t="s">
        <v>1232</v>
      </c>
      <c r="D8" s="92"/>
      <c r="E8" s="90">
        <v>1</v>
      </c>
      <c r="F8" s="90">
        <v>1</v>
      </c>
      <c r="G8" s="92"/>
      <c r="H8" s="90" t="s">
        <v>2879</v>
      </c>
      <c r="I8" s="90"/>
    </row>
    <row r="9" spans="1:9">
      <c r="A9" t="s">
        <v>1973</v>
      </c>
      <c r="B9" s="89" t="s">
        <v>435</v>
      </c>
      <c r="C9" s="89" t="s">
        <v>31</v>
      </c>
      <c r="D9" s="90">
        <v>1</v>
      </c>
      <c r="E9" s="90">
        <v>1</v>
      </c>
      <c r="F9" s="90">
        <v>1</v>
      </c>
      <c r="G9" s="90">
        <v>1</v>
      </c>
      <c r="H9" s="90">
        <v>1</v>
      </c>
      <c r="I9" s="90"/>
    </row>
    <row r="10" spans="1:9">
      <c r="A10" t="s">
        <v>1973</v>
      </c>
      <c r="B10" s="89" t="s">
        <v>478</v>
      </c>
      <c r="C10" s="89" t="s">
        <v>39</v>
      </c>
      <c r="D10" s="90">
        <v>1</v>
      </c>
      <c r="E10" s="90">
        <v>1</v>
      </c>
      <c r="F10" s="90">
        <v>1</v>
      </c>
      <c r="G10" s="90">
        <v>1</v>
      </c>
      <c r="H10" s="90">
        <v>1</v>
      </c>
      <c r="I10" s="90"/>
    </row>
    <row r="11" spans="1:9">
      <c r="A11" t="s">
        <v>1973</v>
      </c>
      <c r="B11" s="89" t="s">
        <v>488</v>
      </c>
      <c r="C11" s="89" t="s">
        <v>232</v>
      </c>
      <c r="D11" s="90">
        <v>1</v>
      </c>
      <c r="E11" s="90">
        <v>1</v>
      </c>
      <c r="F11" s="90">
        <v>1</v>
      </c>
      <c r="G11" s="92"/>
      <c r="H11" s="90">
        <v>1</v>
      </c>
      <c r="I11" s="90"/>
    </row>
    <row r="12" spans="1:9">
      <c r="A12" t="s">
        <v>1973</v>
      </c>
      <c r="B12" s="89" t="s">
        <v>510</v>
      </c>
      <c r="C12" s="89" t="s">
        <v>63</v>
      </c>
      <c r="D12" s="90">
        <v>1</v>
      </c>
      <c r="E12" s="90">
        <v>1</v>
      </c>
      <c r="F12" s="90">
        <v>1</v>
      </c>
      <c r="G12" s="92"/>
      <c r="H12" s="90">
        <v>1</v>
      </c>
      <c r="I12" s="90"/>
    </row>
    <row r="13" spans="1:9">
      <c r="A13" t="s">
        <v>1973</v>
      </c>
      <c r="B13" s="89" t="s">
        <v>66</v>
      </c>
      <c r="C13" s="89" t="s">
        <v>71</v>
      </c>
      <c r="D13" s="90">
        <v>1</v>
      </c>
      <c r="E13" s="90">
        <v>1</v>
      </c>
      <c r="F13" s="90">
        <v>1</v>
      </c>
      <c r="G13" s="90">
        <v>1</v>
      </c>
      <c r="H13" s="90">
        <v>1</v>
      </c>
      <c r="I13" s="90"/>
    </row>
    <row r="14" spans="1:9">
      <c r="A14" t="s">
        <v>1973</v>
      </c>
      <c r="B14" s="93" t="s">
        <v>2880</v>
      </c>
      <c r="C14" s="91" t="s">
        <v>1329</v>
      </c>
      <c r="D14" s="92"/>
      <c r="E14" s="90">
        <v>1</v>
      </c>
      <c r="F14" s="90">
        <v>1</v>
      </c>
      <c r="G14" s="92"/>
      <c r="H14" s="92"/>
      <c r="I14" s="90"/>
    </row>
    <row r="15" spans="1:9">
      <c r="A15" t="s">
        <v>1973</v>
      </c>
      <c r="B15" s="89" t="s">
        <v>557</v>
      </c>
      <c r="C15" s="89" t="s">
        <v>313</v>
      </c>
      <c r="D15" s="90">
        <v>1</v>
      </c>
      <c r="E15" s="90">
        <v>1</v>
      </c>
      <c r="F15" s="90">
        <v>1</v>
      </c>
      <c r="G15" s="90">
        <v>1</v>
      </c>
      <c r="H15" s="90">
        <v>1</v>
      </c>
      <c r="I15" s="90">
        <v>1</v>
      </c>
    </row>
    <row r="16" spans="1:9">
      <c r="A16" t="s">
        <v>1973</v>
      </c>
      <c r="B16" s="89" t="s">
        <v>74</v>
      </c>
      <c r="C16" s="89" t="s">
        <v>79</v>
      </c>
      <c r="D16" s="90">
        <v>1</v>
      </c>
      <c r="E16" s="90">
        <v>1</v>
      </c>
      <c r="F16" s="90">
        <v>1</v>
      </c>
      <c r="G16" s="92"/>
      <c r="H16" s="90">
        <v>1</v>
      </c>
      <c r="I16" s="90"/>
    </row>
    <row r="17" spans="1:9">
      <c r="A17" t="s">
        <v>1973</v>
      </c>
      <c r="B17" s="93" t="s">
        <v>646</v>
      </c>
      <c r="C17" s="93" t="s">
        <v>79</v>
      </c>
      <c r="D17" s="92"/>
      <c r="E17" s="90">
        <v>1</v>
      </c>
      <c r="F17" s="90">
        <v>1</v>
      </c>
      <c r="G17" s="92"/>
      <c r="H17" s="92"/>
      <c r="I17" s="90"/>
    </row>
    <row r="18" spans="1:9">
      <c r="A18" t="s">
        <v>1971</v>
      </c>
      <c r="B18" s="89" t="s">
        <v>1358</v>
      </c>
      <c r="C18" s="89" t="s">
        <v>1359</v>
      </c>
      <c r="D18" s="90">
        <v>1</v>
      </c>
      <c r="E18" s="90">
        <v>1</v>
      </c>
      <c r="F18" s="90">
        <v>1</v>
      </c>
      <c r="G18" s="92"/>
      <c r="H18" s="90">
        <v>1</v>
      </c>
      <c r="I18" s="90"/>
    </row>
    <row r="19" spans="1:9">
      <c r="A19" t="s">
        <v>1971</v>
      </c>
      <c r="B19" s="89" t="s">
        <v>1376</v>
      </c>
      <c r="C19" s="89" t="s">
        <v>192</v>
      </c>
      <c r="D19" s="90">
        <v>1</v>
      </c>
      <c r="E19" s="90">
        <v>1</v>
      </c>
      <c r="F19" s="90">
        <v>1</v>
      </c>
      <c r="G19" s="92"/>
      <c r="H19" s="90">
        <v>1</v>
      </c>
      <c r="I19" s="90"/>
    </row>
    <row r="20" spans="1:9" ht="15" thickBot="1">
      <c r="A20" t="s">
        <v>1971</v>
      </c>
      <c r="B20" s="89" t="s">
        <v>659</v>
      </c>
      <c r="C20" s="89" t="s">
        <v>93</v>
      </c>
      <c r="D20" s="90">
        <v>1</v>
      </c>
      <c r="E20" s="105"/>
      <c r="F20" s="90">
        <v>1</v>
      </c>
      <c r="G20" s="90">
        <v>1</v>
      </c>
      <c r="H20" s="90">
        <v>1</v>
      </c>
      <c r="I20" s="90">
        <v>1</v>
      </c>
    </row>
    <row r="21" spans="1:9">
      <c r="A21" t="s">
        <v>1971</v>
      </c>
      <c r="B21" s="89" t="s">
        <v>694</v>
      </c>
      <c r="C21" s="89" t="s">
        <v>108</v>
      </c>
      <c r="D21" s="90">
        <v>1</v>
      </c>
      <c r="E21" s="104">
        <v>1</v>
      </c>
      <c r="F21" s="92"/>
      <c r="G21" s="90">
        <v>1</v>
      </c>
      <c r="H21" s="90">
        <v>1</v>
      </c>
      <c r="I21" s="90"/>
    </row>
    <row r="22" spans="1:9">
      <c r="A22" t="s">
        <v>1971</v>
      </c>
      <c r="B22" s="89" t="s">
        <v>1405</v>
      </c>
      <c r="C22" s="89" t="s">
        <v>200</v>
      </c>
      <c r="D22" s="90">
        <v>1</v>
      </c>
      <c r="E22" s="90">
        <v>1</v>
      </c>
      <c r="F22" s="90">
        <v>1</v>
      </c>
      <c r="G22" s="92"/>
      <c r="H22" s="90">
        <v>1</v>
      </c>
      <c r="I22" s="90"/>
    </row>
    <row r="23" spans="1:9">
      <c r="A23" t="s">
        <v>1971</v>
      </c>
      <c r="B23" s="89" t="s">
        <v>211</v>
      </c>
      <c r="C23" s="89" t="s">
        <v>176</v>
      </c>
      <c r="D23" s="90">
        <v>1</v>
      </c>
      <c r="E23" s="90">
        <v>1</v>
      </c>
      <c r="F23" s="90">
        <v>1</v>
      </c>
      <c r="G23" s="109">
        <v>1</v>
      </c>
      <c r="H23" s="90">
        <v>1</v>
      </c>
      <c r="I23" s="90">
        <v>1</v>
      </c>
    </row>
    <row r="24" spans="1:9">
      <c r="A24" t="s">
        <v>1971</v>
      </c>
      <c r="B24" s="89" t="s">
        <v>839</v>
      </c>
      <c r="C24" s="89" t="s">
        <v>55</v>
      </c>
      <c r="D24" s="90">
        <v>1</v>
      </c>
      <c r="E24" s="90">
        <v>1</v>
      </c>
      <c r="F24" s="107">
        <v>1</v>
      </c>
      <c r="G24" s="106">
        <v>1</v>
      </c>
      <c r="H24" s="108">
        <v>1</v>
      </c>
      <c r="I24" s="90"/>
    </row>
    <row r="25" spans="1:9">
      <c r="A25" t="s">
        <v>1971</v>
      </c>
      <c r="B25" s="89" t="s">
        <v>1485</v>
      </c>
      <c r="C25" s="89" t="s">
        <v>184</v>
      </c>
      <c r="D25" s="90">
        <v>1</v>
      </c>
      <c r="E25" s="90">
        <v>1</v>
      </c>
      <c r="F25" s="90">
        <v>1</v>
      </c>
      <c r="G25" s="104">
        <v>1</v>
      </c>
      <c r="H25" s="92"/>
      <c r="I25" s="90"/>
    </row>
    <row r="26" spans="1:9">
      <c r="A26" t="s">
        <v>1971</v>
      </c>
      <c r="B26" s="89" t="s">
        <v>1491</v>
      </c>
      <c r="C26" s="89" t="s">
        <v>1301</v>
      </c>
      <c r="D26" s="90">
        <v>1</v>
      </c>
      <c r="E26" s="92"/>
      <c r="F26" s="106">
        <v>1</v>
      </c>
      <c r="G26" s="92"/>
      <c r="H26" s="90">
        <v>1</v>
      </c>
      <c r="I26" s="90"/>
    </row>
    <row r="27" spans="1:9">
      <c r="A27" t="s">
        <v>1971</v>
      </c>
      <c r="B27" s="89" t="s">
        <v>904</v>
      </c>
      <c r="C27" s="89" t="s">
        <v>905</v>
      </c>
      <c r="D27" s="90">
        <v>1</v>
      </c>
      <c r="E27" s="90">
        <v>1</v>
      </c>
      <c r="F27" s="90">
        <v>1</v>
      </c>
      <c r="G27" s="90">
        <v>1</v>
      </c>
      <c r="H27" s="90">
        <v>1</v>
      </c>
      <c r="I27" s="90">
        <v>1</v>
      </c>
    </row>
    <row r="28" spans="1:9" ht="15" thickBot="1">
      <c r="A28" t="s">
        <v>1971</v>
      </c>
      <c r="B28" s="89" t="s">
        <v>1025</v>
      </c>
      <c r="C28" s="89" t="s">
        <v>145</v>
      </c>
      <c r="D28" s="90">
        <v>1</v>
      </c>
      <c r="E28" s="90">
        <v>1</v>
      </c>
      <c r="F28" s="90">
        <v>1</v>
      </c>
      <c r="G28" s="105"/>
      <c r="H28" s="90">
        <v>1</v>
      </c>
      <c r="I28" s="90"/>
    </row>
    <row r="29" spans="1:9" ht="15" thickBot="1">
      <c r="A29" t="s">
        <v>1971</v>
      </c>
      <c r="B29" s="89" t="s">
        <v>1031</v>
      </c>
      <c r="C29" s="89" t="s">
        <v>153</v>
      </c>
      <c r="D29" s="95">
        <v>1</v>
      </c>
      <c r="E29" s="95">
        <v>1</v>
      </c>
      <c r="F29" s="95">
        <v>1</v>
      </c>
      <c r="G29" s="95">
        <v>1</v>
      </c>
      <c r="H29" s="95">
        <v>1</v>
      </c>
      <c r="I29" s="95"/>
    </row>
    <row r="30" spans="1:9" s="3" customFormat="1" ht="15" thickTop="1">
      <c r="B30" s="639"/>
      <c r="C30" s="640"/>
      <c r="D30" s="94">
        <f>SUM(D2:D29)</f>
        <v>25</v>
      </c>
      <c r="E30" s="94">
        <f t="shared" ref="E30:I30" si="0">SUM(E2:E29)</f>
        <v>26</v>
      </c>
      <c r="F30" s="94">
        <f t="shared" si="0"/>
        <v>27</v>
      </c>
      <c r="G30" s="94">
        <f t="shared" si="0"/>
        <v>16</v>
      </c>
      <c r="H30" s="94">
        <f t="shared" si="0"/>
        <v>23</v>
      </c>
      <c r="I30" s="94">
        <f t="shared" si="0"/>
        <v>5</v>
      </c>
    </row>
    <row r="31" spans="1:9" s="3" customFormat="1">
      <c r="D31" s="23"/>
      <c r="E31" s="23"/>
      <c r="F31" s="23"/>
      <c r="G31" s="23"/>
      <c r="H31" s="23"/>
      <c r="I31" s="23"/>
    </row>
    <row r="32" spans="1:9" s="3" customFormat="1">
      <c r="D32" s="23"/>
      <c r="E32" s="23"/>
      <c r="F32" s="23"/>
      <c r="G32" s="23"/>
      <c r="H32" s="23"/>
      <c r="I32" s="23"/>
    </row>
    <row r="33" spans="2:9">
      <c r="B33" s="3" t="s">
        <v>240</v>
      </c>
      <c r="C33" s="3" t="s">
        <v>23</v>
      </c>
      <c r="F33" s="13">
        <v>1</v>
      </c>
      <c r="G33"/>
      <c r="H33"/>
      <c r="I33"/>
    </row>
    <row r="34" spans="2:9">
      <c r="B34" t="s">
        <v>1065</v>
      </c>
      <c r="C34" t="s">
        <v>1066</v>
      </c>
      <c r="E34" s="13">
        <v>1</v>
      </c>
      <c r="F34" s="13">
        <v>1</v>
      </c>
      <c r="G34"/>
      <c r="H34"/>
      <c r="I34"/>
    </row>
    <row r="35" spans="2:9">
      <c r="B35" t="s">
        <v>1136</v>
      </c>
      <c r="C35" t="s">
        <v>184</v>
      </c>
      <c r="E35" s="13">
        <v>1</v>
      </c>
      <c r="F35" s="13">
        <v>1</v>
      </c>
      <c r="G35"/>
      <c r="H35"/>
      <c r="I35"/>
    </row>
    <row r="36" spans="2:9">
      <c r="B36" s="3" t="s">
        <v>350</v>
      </c>
      <c r="C36" s="3" t="s">
        <v>23</v>
      </c>
      <c r="E36" s="13">
        <v>1</v>
      </c>
      <c r="F36" s="13">
        <v>1</v>
      </c>
      <c r="G36"/>
      <c r="H36"/>
      <c r="I36"/>
    </row>
    <row r="37" spans="2:9">
      <c r="B37" s="3" t="s">
        <v>357</v>
      </c>
      <c r="C37" s="3" t="s">
        <v>23</v>
      </c>
      <c r="E37" s="13">
        <v>1</v>
      </c>
      <c r="F37" s="13">
        <v>1</v>
      </c>
      <c r="G37"/>
      <c r="H37"/>
      <c r="I37"/>
    </row>
    <row r="38" spans="2:9">
      <c r="B38" t="s">
        <v>1207</v>
      </c>
      <c r="C38" t="s">
        <v>1085</v>
      </c>
      <c r="G38"/>
      <c r="H38"/>
      <c r="I38"/>
    </row>
    <row r="39" spans="2:9">
      <c r="B39" s="3" t="s">
        <v>391</v>
      </c>
      <c r="C39" s="3" t="s">
        <v>71</v>
      </c>
      <c r="G39"/>
      <c r="H39"/>
      <c r="I39"/>
    </row>
    <row r="40" spans="2:9">
      <c r="B40" s="3" t="s">
        <v>417</v>
      </c>
      <c r="C40" s="3" t="s">
        <v>23</v>
      </c>
      <c r="E40" s="13">
        <v>1</v>
      </c>
      <c r="F40" s="13">
        <v>1</v>
      </c>
      <c r="G40"/>
      <c r="H40"/>
      <c r="I40"/>
    </row>
    <row r="41" spans="2:9">
      <c r="B41" t="s">
        <v>1221</v>
      </c>
      <c r="C41" t="s">
        <v>1222</v>
      </c>
      <c r="G41"/>
      <c r="H41"/>
      <c r="I41"/>
    </row>
    <row r="42" spans="2:9">
      <c r="B42" s="3" t="s">
        <v>472</v>
      </c>
      <c r="C42" s="3" t="s">
        <v>232</v>
      </c>
      <c r="G42"/>
      <c r="H42"/>
      <c r="I42"/>
    </row>
    <row r="43" spans="2:9">
      <c r="B43" t="s">
        <v>1275</v>
      </c>
      <c r="C43" t="s">
        <v>1109</v>
      </c>
      <c r="E43" s="13">
        <v>1</v>
      </c>
      <c r="F43" s="13">
        <v>1</v>
      </c>
      <c r="G43"/>
      <c r="H43"/>
      <c r="I43"/>
    </row>
    <row r="44" spans="2:9">
      <c r="B44" s="3" t="s">
        <v>498</v>
      </c>
      <c r="C44" s="3" t="s">
        <v>55</v>
      </c>
      <c r="E44" s="13">
        <v>1</v>
      </c>
      <c r="F44" s="13">
        <v>1</v>
      </c>
      <c r="G44"/>
      <c r="H44"/>
      <c r="I44"/>
    </row>
    <row r="45" spans="2:9">
      <c r="B45" t="s">
        <v>1294</v>
      </c>
      <c r="C45" t="s">
        <v>1103</v>
      </c>
      <c r="E45" s="13">
        <v>1</v>
      </c>
      <c r="F45" s="13">
        <v>1</v>
      </c>
      <c r="G45"/>
      <c r="H45"/>
      <c r="I45"/>
    </row>
    <row r="46" spans="2:9">
      <c r="B46" s="3" t="s">
        <v>522</v>
      </c>
      <c r="C46" s="3" t="s">
        <v>523</v>
      </c>
      <c r="G46"/>
      <c r="H46"/>
      <c r="I46"/>
    </row>
    <row r="47" spans="2:9">
      <c r="B47" s="3" t="s">
        <v>530</v>
      </c>
      <c r="C47" s="3" t="s">
        <v>531</v>
      </c>
      <c r="E47" s="13">
        <v>1</v>
      </c>
      <c r="F47" s="13">
        <v>1</v>
      </c>
      <c r="G47"/>
      <c r="H47"/>
      <c r="I47"/>
    </row>
    <row r="48" spans="2:9">
      <c r="B48" s="3" t="s">
        <v>542</v>
      </c>
      <c r="C48" s="3" t="s">
        <v>71</v>
      </c>
      <c r="E48" s="13">
        <v>1</v>
      </c>
      <c r="F48" s="13">
        <v>1</v>
      </c>
      <c r="G48"/>
      <c r="H48"/>
      <c r="I48"/>
    </row>
    <row r="49" spans="2:9">
      <c r="B49" s="3" t="s">
        <v>594</v>
      </c>
      <c r="C49" s="3" t="s">
        <v>23</v>
      </c>
      <c r="G49"/>
      <c r="H49"/>
      <c r="I49"/>
    </row>
    <row r="50" spans="2:9">
      <c r="B50" t="s">
        <v>1371</v>
      </c>
      <c r="C50" t="s">
        <v>192</v>
      </c>
      <c r="G50"/>
      <c r="H50"/>
      <c r="I50"/>
    </row>
    <row r="51" spans="2:9">
      <c r="B51" s="3" t="s">
        <v>689</v>
      </c>
      <c r="C51" s="3" t="s">
        <v>101</v>
      </c>
      <c r="E51" s="13">
        <v>1</v>
      </c>
      <c r="G51"/>
      <c r="H51"/>
      <c r="I51"/>
    </row>
    <row r="52" spans="2:9">
      <c r="B52" s="3" t="s">
        <v>706</v>
      </c>
      <c r="C52" s="3" t="s">
        <v>55</v>
      </c>
      <c r="E52" s="13">
        <v>1</v>
      </c>
      <c r="F52" s="13">
        <v>1</v>
      </c>
      <c r="G52"/>
      <c r="H52"/>
      <c r="I52"/>
    </row>
    <row r="53" spans="2:9">
      <c r="B53" s="3" t="s">
        <v>724</v>
      </c>
      <c r="C53" s="3" t="s">
        <v>585</v>
      </c>
      <c r="G53"/>
      <c r="H53"/>
      <c r="I53"/>
    </row>
    <row r="54" spans="2:9">
      <c r="B54" s="3" t="s">
        <v>729</v>
      </c>
      <c r="C54" s="3" t="s">
        <v>319</v>
      </c>
      <c r="E54" s="13">
        <v>1</v>
      </c>
      <c r="F54" s="13">
        <v>1</v>
      </c>
      <c r="G54"/>
      <c r="H54"/>
      <c r="I54"/>
    </row>
    <row r="55" spans="2:9">
      <c r="B55" s="3" t="s">
        <v>734</v>
      </c>
      <c r="C55" s="3" t="s">
        <v>232</v>
      </c>
      <c r="E55" s="13">
        <v>1</v>
      </c>
      <c r="F55" s="13">
        <v>1</v>
      </c>
      <c r="G55"/>
      <c r="H55"/>
      <c r="I55"/>
    </row>
    <row r="56" spans="2:9">
      <c r="B56" t="s">
        <v>1458</v>
      </c>
      <c r="C56" t="s">
        <v>1182</v>
      </c>
      <c r="E56" s="13">
        <v>1</v>
      </c>
      <c r="F56" s="13">
        <v>1</v>
      </c>
      <c r="G56"/>
      <c r="H56"/>
      <c r="I56"/>
    </row>
    <row r="57" spans="2:9">
      <c r="B57" s="3" t="s">
        <v>805</v>
      </c>
      <c r="C57" s="3" t="s">
        <v>441</v>
      </c>
      <c r="G57"/>
      <c r="H57"/>
      <c r="I57"/>
    </row>
    <row r="58" spans="2:9">
      <c r="B58" s="3" t="s">
        <v>817</v>
      </c>
      <c r="C58" s="3" t="s">
        <v>247</v>
      </c>
      <c r="E58" s="13">
        <v>1</v>
      </c>
      <c r="F58" s="13">
        <v>1</v>
      </c>
      <c r="G58"/>
      <c r="H58"/>
      <c r="I58"/>
    </row>
    <row r="59" spans="2:9">
      <c r="B59" s="3" t="s">
        <v>825</v>
      </c>
      <c r="C59" s="3" t="s">
        <v>55</v>
      </c>
      <c r="E59" s="13">
        <v>1</v>
      </c>
      <c r="F59" s="13">
        <v>1</v>
      </c>
      <c r="G59"/>
      <c r="H59"/>
      <c r="I59"/>
    </row>
    <row r="60" spans="2:9">
      <c r="B60" t="s">
        <v>1483</v>
      </c>
      <c r="C60" t="s">
        <v>1069</v>
      </c>
      <c r="G60"/>
      <c r="H60"/>
      <c r="I60"/>
    </row>
    <row r="61" spans="2:9">
      <c r="B61" s="3" t="s">
        <v>856</v>
      </c>
      <c r="C61" s="3" t="s">
        <v>23</v>
      </c>
      <c r="E61" s="13">
        <v>1</v>
      </c>
      <c r="F61" s="13">
        <v>1</v>
      </c>
      <c r="G61"/>
      <c r="H61"/>
      <c r="I61"/>
    </row>
    <row r="62" spans="2:9">
      <c r="B62" s="3" t="s">
        <v>862</v>
      </c>
      <c r="C62" s="3" t="s">
        <v>23</v>
      </c>
      <c r="E62" s="13">
        <v>1</v>
      </c>
      <c r="F62" s="13">
        <v>1</v>
      </c>
      <c r="G62"/>
      <c r="H62"/>
      <c r="I62"/>
    </row>
    <row r="63" spans="2:9">
      <c r="B63" s="3" t="s">
        <v>874</v>
      </c>
      <c r="C63" s="3" t="s">
        <v>232</v>
      </c>
      <c r="G63"/>
      <c r="H63"/>
      <c r="I63"/>
    </row>
    <row r="64" spans="2:9">
      <c r="B64" s="3" t="s">
        <v>898</v>
      </c>
      <c r="C64" s="3" t="s">
        <v>585</v>
      </c>
      <c r="G64"/>
      <c r="H64"/>
      <c r="I64"/>
    </row>
    <row r="65" spans="2:9">
      <c r="B65" s="3" t="s">
        <v>925</v>
      </c>
      <c r="C65" s="3" t="s">
        <v>47</v>
      </c>
      <c r="E65" s="13">
        <v>1</v>
      </c>
      <c r="F65" s="13">
        <v>1</v>
      </c>
    </row>
    <row r="66" spans="2:9">
      <c r="B66" s="3" t="s">
        <v>938</v>
      </c>
      <c r="C66" s="3" t="s">
        <v>23</v>
      </c>
      <c r="E66" s="13">
        <v>1</v>
      </c>
      <c r="F66" s="13">
        <v>1</v>
      </c>
    </row>
    <row r="67" spans="2:9">
      <c r="B67" t="s">
        <v>1550</v>
      </c>
      <c r="C67" t="s">
        <v>1109</v>
      </c>
      <c r="E67" s="13">
        <v>1</v>
      </c>
      <c r="F67" s="13">
        <v>1</v>
      </c>
    </row>
    <row r="68" spans="2:9">
      <c r="B68" t="s">
        <v>1567</v>
      </c>
      <c r="C68" t="s">
        <v>1109</v>
      </c>
      <c r="E68" s="13">
        <v>1</v>
      </c>
      <c r="F68" s="13">
        <v>1</v>
      </c>
    </row>
    <row r="69" spans="2:9">
      <c r="B69" s="3" t="s">
        <v>949</v>
      </c>
      <c r="C69" s="3" t="s">
        <v>79</v>
      </c>
      <c r="E69" s="13">
        <v>1</v>
      </c>
      <c r="F69" s="13">
        <v>1</v>
      </c>
    </row>
    <row r="70" spans="2:9">
      <c r="B70" s="3" t="s">
        <v>958</v>
      </c>
      <c r="C70" s="3" t="s">
        <v>55</v>
      </c>
    </row>
    <row r="71" spans="2:9">
      <c r="B71" t="s">
        <v>1582</v>
      </c>
      <c r="C71" t="s">
        <v>1109</v>
      </c>
    </row>
    <row r="72" spans="2:9">
      <c r="B72" s="3" t="s">
        <v>1037</v>
      </c>
      <c r="C72" s="3" t="s">
        <v>23</v>
      </c>
      <c r="E72" s="13">
        <v>1</v>
      </c>
      <c r="F72" s="13">
        <v>1</v>
      </c>
    </row>
    <row r="73" spans="2:9">
      <c r="B73" s="3" t="s">
        <v>1039</v>
      </c>
      <c r="C73" s="3" t="s">
        <v>441</v>
      </c>
    </row>
    <row r="74" spans="2:9" ht="15" thickBot="1">
      <c r="B74" s="3" t="s">
        <v>1052</v>
      </c>
      <c r="C74" s="3" t="s">
        <v>441</v>
      </c>
      <c r="E74" s="13">
        <v>1</v>
      </c>
      <c r="F74" s="13">
        <v>1</v>
      </c>
    </row>
    <row r="75" spans="2:9" ht="15" thickTop="1">
      <c r="B75" s="43" t="s">
        <v>2786</v>
      </c>
      <c r="C75" s="44">
        <v>70</v>
      </c>
      <c r="D75" s="51">
        <f>SUM(D1:D74)</f>
        <v>50</v>
      </c>
      <c r="E75" s="51">
        <f t="shared" ref="E75:G75" si="1">SUM(E1:E74)</f>
        <v>78</v>
      </c>
      <c r="F75" s="51">
        <f t="shared" si="1"/>
        <v>80</v>
      </c>
      <c r="G75" s="51">
        <f t="shared" si="1"/>
        <v>32</v>
      </c>
      <c r="H75" s="51"/>
      <c r="I75" s="51"/>
    </row>
  </sheetData>
  <sortState ref="B2:K29">
    <sortCondition ref="B2"/>
  </sortState>
  <mergeCells count="1">
    <mergeCell ref="B30:C30"/>
  </mergeCells>
  <printOptions horizontalCentered="1" gridLines="1"/>
  <pageMargins left="0.2" right="0.2" top="1.25" bottom="0.5" header="0.3" footer="0.3"/>
  <pageSetup orientation="portrait" horizontalDpi="4294967293"/>
  <headerFooter>
    <oddHeader>&amp;RGroWA Infrastructure Analysis</oddHeader>
    <oddFooter>&amp;L&amp;G&amp;C&amp;D&amp;RPage &amp;P / &amp;N</oddFooter>
  </headerFooter>
  <legacyDrawingHF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2:AM654"/>
  <sheetViews>
    <sheetView topLeftCell="A4" workbookViewId="0">
      <pane ySplit="1" topLeftCell="A5" activePane="bottomLeft" state="frozen"/>
      <selection activeCell="J4" sqref="J4"/>
      <selection pane="bottomLeft" activeCell="J624" sqref="J624"/>
    </sheetView>
  </sheetViews>
  <sheetFormatPr baseColWidth="10" defaultColWidth="8.83203125" defaultRowHeight="15" x14ac:dyDescent="0"/>
  <cols>
    <col min="1" max="1" width="32.1640625" style="34" hidden="1" customWidth="1"/>
    <col min="2" max="2" width="9.5" style="34" hidden="1" customWidth="1"/>
    <col min="3" max="3" width="10.5" style="34" hidden="1" customWidth="1"/>
    <col min="4" max="4" width="8.5" style="34" hidden="1" customWidth="1"/>
    <col min="5" max="5" width="10.5" style="34" hidden="1" customWidth="1"/>
    <col min="6" max="6" width="18" style="34" customWidth="1"/>
    <col min="7" max="7" width="7.6640625" style="34" hidden="1" customWidth="1"/>
    <col min="8" max="8" width="18.5" style="34" customWidth="1"/>
    <col min="9" max="9" width="9.1640625" style="34" customWidth="1"/>
    <col min="10" max="10" width="17.33203125" style="34" customWidth="1"/>
    <col min="11" max="11" width="13" style="34" hidden="1" customWidth="1"/>
    <col min="12" max="12" width="8" style="34" hidden="1" customWidth="1"/>
    <col min="13" max="13" width="7.83203125" style="34" hidden="1" customWidth="1"/>
    <col min="14" max="14" width="4.6640625" style="34" hidden="1" customWidth="1"/>
    <col min="15" max="15" width="13.6640625" style="34" hidden="1" customWidth="1"/>
    <col min="16" max="16" width="10" style="34" bestFit="1" customWidth="1"/>
    <col min="17" max="17" width="8.5" style="34" hidden="1" customWidth="1"/>
    <col min="18" max="19" width="11.5" style="34" hidden="1" customWidth="1"/>
    <col min="20" max="20" width="13" style="34" hidden="1" customWidth="1"/>
    <col min="21" max="22" width="13.1640625" style="34" hidden="1" customWidth="1"/>
    <col min="23" max="23" width="14.83203125" style="34" hidden="1" customWidth="1"/>
    <col min="24" max="25" width="10" style="34" hidden="1" customWidth="1"/>
    <col min="26" max="26" width="11.5" style="34" hidden="1" customWidth="1"/>
    <col min="27" max="28" width="13" style="34" hidden="1" customWidth="1"/>
    <col min="29" max="29" width="14.6640625" style="34" hidden="1" customWidth="1"/>
    <col min="30" max="31" width="14.83203125" style="34" hidden="1" customWidth="1"/>
    <col min="32" max="32" width="16.5" style="34" hidden="1" customWidth="1"/>
    <col min="33" max="34" width="8.1640625" style="34" hidden="1" customWidth="1"/>
    <col min="35" max="35" width="9.6640625" style="34" hidden="1" customWidth="1"/>
    <col min="36" max="36" width="11.83203125" style="34" bestFit="1" customWidth="1"/>
    <col min="37" max="37" width="17.6640625" style="34" bestFit="1" customWidth="1"/>
    <col min="38" max="38" width="16.6640625" style="34" bestFit="1" customWidth="1"/>
    <col min="39" max="39" width="0" style="35" hidden="1" customWidth="1"/>
    <col min="40" max="256" width="8.83203125" style="34"/>
    <col min="257" max="263" width="0" style="34" hidden="1" customWidth="1"/>
    <col min="264" max="264" width="18.1640625" style="34" customWidth="1"/>
    <col min="265" max="265" width="0" style="34" hidden="1" customWidth="1"/>
    <col min="266" max="266" width="17.33203125" style="34" customWidth="1"/>
    <col min="267" max="270" width="0" style="34" hidden="1" customWidth="1"/>
    <col min="271" max="271" width="14.6640625" style="34" customWidth="1"/>
    <col min="272" max="272" width="7.33203125" style="34" customWidth="1"/>
    <col min="273" max="291" width="0" style="34" hidden="1" customWidth="1"/>
    <col min="292" max="292" width="8.33203125" style="34" customWidth="1"/>
    <col min="293" max="293" width="11.83203125" style="34" customWidth="1"/>
    <col min="294" max="294" width="11.5" style="34" customWidth="1"/>
    <col min="295" max="295" width="0" style="34" hidden="1" customWidth="1"/>
    <col min="296" max="512" width="8.83203125" style="34"/>
    <col min="513" max="519" width="0" style="34" hidden="1" customWidth="1"/>
    <col min="520" max="520" width="18.1640625" style="34" customWidth="1"/>
    <col min="521" max="521" width="0" style="34" hidden="1" customWidth="1"/>
    <col min="522" max="522" width="17.33203125" style="34" customWidth="1"/>
    <col min="523" max="526" width="0" style="34" hidden="1" customWidth="1"/>
    <col min="527" max="527" width="14.6640625" style="34" customWidth="1"/>
    <col min="528" max="528" width="7.33203125" style="34" customWidth="1"/>
    <col min="529" max="547" width="0" style="34" hidden="1" customWidth="1"/>
    <col min="548" max="548" width="8.33203125" style="34" customWidth="1"/>
    <col min="549" max="549" width="11.83203125" style="34" customWidth="1"/>
    <col min="550" max="550" width="11.5" style="34" customWidth="1"/>
    <col min="551" max="551" width="0" style="34" hidden="1" customWidth="1"/>
    <col min="552" max="768" width="8.83203125" style="34"/>
    <col min="769" max="775" width="0" style="34" hidden="1" customWidth="1"/>
    <col min="776" max="776" width="18.1640625" style="34" customWidth="1"/>
    <col min="777" max="777" width="0" style="34" hidden="1" customWidth="1"/>
    <col min="778" max="778" width="17.33203125" style="34" customWidth="1"/>
    <col min="779" max="782" width="0" style="34" hidden="1" customWidth="1"/>
    <col min="783" max="783" width="14.6640625" style="34" customWidth="1"/>
    <col min="784" max="784" width="7.33203125" style="34" customWidth="1"/>
    <col min="785" max="803" width="0" style="34" hidden="1" customWidth="1"/>
    <col min="804" max="804" width="8.33203125" style="34" customWidth="1"/>
    <col min="805" max="805" width="11.83203125" style="34" customWidth="1"/>
    <col min="806" max="806" width="11.5" style="34" customWidth="1"/>
    <col min="807" max="807" width="0" style="34" hidden="1" customWidth="1"/>
    <col min="808" max="1024" width="8.83203125" style="34"/>
    <col min="1025" max="1031" width="0" style="34" hidden="1" customWidth="1"/>
    <col min="1032" max="1032" width="18.1640625" style="34" customWidth="1"/>
    <col min="1033" max="1033" width="0" style="34" hidden="1" customWidth="1"/>
    <col min="1034" max="1034" width="17.33203125" style="34" customWidth="1"/>
    <col min="1035" max="1038" width="0" style="34" hidden="1" customWidth="1"/>
    <col min="1039" max="1039" width="14.6640625" style="34" customWidth="1"/>
    <col min="1040" max="1040" width="7.33203125" style="34" customWidth="1"/>
    <col min="1041" max="1059" width="0" style="34" hidden="1" customWidth="1"/>
    <col min="1060" max="1060" width="8.33203125" style="34" customWidth="1"/>
    <col min="1061" max="1061" width="11.83203125" style="34" customWidth="1"/>
    <col min="1062" max="1062" width="11.5" style="34" customWidth="1"/>
    <col min="1063" max="1063" width="0" style="34" hidden="1" customWidth="1"/>
    <col min="1064" max="1280" width="8.83203125" style="34"/>
    <col min="1281" max="1287" width="0" style="34" hidden="1" customWidth="1"/>
    <col min="1288" max="1288" width="18.1640625" style="34" customWidth="1"/>
    <col min="1289" max="1289" width="0" style="34" hidden="1" customWidth="1"/>
    <col min="1290" max="1290" width="17.33203125" style="34" customWidth="1"/>
    <col min="1291" max="1294" width="0" style="34" hidden="1" customWidth="1"/>
    <col min="1295" max="1295" width="14.6640625" style="34" customWidth="1"/>
    <col min="1296" max="1296" width="7.33203125" style="34" customWidth="1"/>
    <col min="1297" max="1315" width="0" style="34" hidden="1" customWidth="1"/>
    <col min="1316" max="1316" width="8.33203125" style="34" customWidth="1"/>
    <col min="1317" max="1317" width="11.83203125" style="34" customWidth="1"/>
    <col min="1318" max="1318" width="11.5" style="34" customWidth="1"/>
    <col min="1319" max="1319" width="0" style="34" hidden="1" customWidth="1"/>
    <col min="1320" max="1536" width="8.83203125" style="34"/>
    <col min="1537" max="1543" width="0" style="34" hidden="1" customWidth="1"/>
    <col min="1544" max="1544" width="18.1640625" style="34" customWidth="1"/>
    <col min="1545" max="1545" width="0" style="34" hidden="1" customWidth="1"/>
    <col min="1546" max="1546" width="17.33203125" style="34" customWidth="1"/>
    <col min="1547" max="1550" width="0" style="34" hidden="1" customWidth="1"/>
    <col min="1551" max="1551" width="14.6640625" style="34" customWidth="1"/>
    <col min="1552" max="1552" width="7.33203125" style="34" customWidth="1"/>
    <col min="1553" max="1571" width="0" style="34" hidden="1" customWidth="1"/>
    <col min="1572" max="1572" width="8.33203125" style="34" customWidth="1"/>
    <col min="1573" max="1573" width="11.83203125" style="34" customWidth="1"/>
    <col min="1574" max="1574" width="11.5" style="34" customWidth="1"/>
    <col min="1575" max="1575" width="0" style="34" hidden="1" customWidth="1"/>
    <col min="1576" max="1792" width="8.83203125" style="34"/>
    <col min="1793" max="1799" width="0" style="34" hidden="1" customWidth="1"/>
    <col min="1800" max="1800" width="18.1640625" style="34" customWidth="1"/>
    <col min="1801" max="1801" width="0" style="34" hidden="1" customWidth="1"/>
    <col min="1802" max="1802" width="17.33203125" style="34" customWidth="1"/>
    <col min="1803" max="1806" width="0" style="34" hidden="1" customWidth="1"/>
    <col min="1807" max="1807" width="14.6640625" style="34" customWidth="1"/>
    <col min="1808" max="1808" width="7.33203125" style="34" customWidth="1"/>
    <col min="1809" max="1827" width="0" style="34" hidden="1" customWidth="1"/>
    <col min="1828" max="1828" width="8.33203125" style="34" customWidth="1"/>
    <col min="1829" max="1829" width="11.83203125" style="34" customWidth="1"/>
    <col min="1830" max="1830" width="11.5" style="34" customWidth="1"/>
    <col min="1831" max="1831" width="0" style="34" hidden="1" customWidth="1"/>
    <col min="1832" max="2048" width="8.83203125" style="34"/>
    <col min="2049" max="2055" width="0" style="34" hidden="1" customWidth="1"/>
    <col min="2056" max="2056" width="18.1640625" style="34" customWidth="1"/>
    <col min="2057" max="2057" width="0" style="34" hidden="1" customWidth="1"/>
    <col min="2058" max="2058" width="17.33203125" style="34" customWidth="1"/>
    <col min="2059" max="2062" width="0" style="34" hidden="1" customWidth="1"/>
    <col min="2063" max="2063" width="14.6640625" style="34" customWidth="1"/>
    <col min="2064" max="2064" width="7.33203125" style="34" customWidth="1"/>
    <col min="2065" max="2083" width="0" style="34" hidden="1" customWidth="1"/>
    <col min="2084" max="2084" width="8.33203125" style="34" customWidth="1"/>
    <col min="2085" max="2085" width="11.83203125" style="34" customWidth="1"/>
    <col min="2086" max="2086" width="11.5" style="34" customWidth="1"/>
    <col min="2087" max="2087" width="0" style="34" hidden="1" customWidth="1"/>
    <col min="2088" max="2304" width="8.83203125" style="34"/>
    <col min="2305" max="2311" width="0" style="34" hidden="1" customWidth="1"/>
    <col min="2312" max="2312" width="18.1640625" style="34" customWidth="1"/>
    <col min="2313" max="2313" width="0" style="34" hidden="1" customWidth="1"/>
    <col min="2314" max="2314" width="17.33203125" style="34" customWidth="1"/>
    <col min="2315" max="2318" width="0" style="34" hidden="1" customWidth="1"/>
    <col min="2319" max="2319" width="14.6640625" style="34" customWidth="1"/>
    <col min="2320" max="2320" width="7.33203125" style="34" customWidth="1"/>
    <col min="2321" max="2339" width="0" style="34" hidden="1" customWidth="1"/>
    <col min="2340" max="2340" width="8.33203125" style="34" customWidth="1"/>
    <col min="2341" max="2341" width="11.83203125" style="34" customWidth="1"/>
    <col min="2342" max="2342" width="11.5" style="34" customWidth="1"/>
    <col min="2343" max="2343" width="0" style="34" hidden="1" customWidth="1"/>
    <col min="2344" max="2560" width="8.83203125" style="34"/>
    <col min="2561" max="2567" width="0" style="34" hidden="1" customWidth="1"/>
    <col min="2568" max="2568" width="18.1640625" style="34" customWidth="1"/>
    <col min="2569" max="2569" width="0" style="34" hidden="1" customWidth="1"/>
    <col min="2570" max="2570" width="17.33203125" style="34" customWidth="1"/>
    <col min="2571" max="2574" width="0" style="34" hidden="1" customWidth="1"/>
    <col min="2575" max="2575" width="14.6640625" style="34" customWidth="1"/>
    <col min="2576" max="2576" width="7.33203125" style="34" customWidth="1"/>
    <col min="2577" max="2595" width="0" style="34" hidden="1" customWidth="1"/>
    <col min="2596" max="2596" width="8.33203125" style="34" customWidth="1"/>
    <col min="2597" max="2597" width="11.83203125" style="34" customWidth="1"/>
    <col min="2598" max="2598" width="11.5" style="34" customWidth="1"/>
    <col min="2599" max="2599" width="0" style="34" hidden="1" customWidth="1"/>
    <col min="2600" max="2816" width="8.83203125" style="34"/>
    <col min="2817" max="2823" width="0" style="34" hidden="1" customWidth="1"/>
    <col min="2824" max="2824" width="18.1640625" style="34" customWidth="1"/>
    <col min="2825" max="2825" width="0" style="34" hidden="1" customWidth="1"/>
    <col min="2826" max="2826" width="17.33203125" style="34" customWidth="1"/>
    <col min="2827" max="2830" width="0" style="34" hidden="1" customWidth="1"/>
    <col min="2831" max="2831" width="14.6640625" style="34" customWidth="1"/>
    <col min="2832" max="2832" width="7.33203125" style="34" customWidth="1"/>
    <col min="2833" max="2851" width="0" style="34" hidden="1" customWidth="1"/>
    <col min="2852" max="2852" width="8.33203125" style="34" customWidth="1"/>
    <col min="2853" max="2853" width="11.83203125" style="34" customWidth="1"/>
    <col min="2854" max="2854" width="11.5" style="34" customWidth="1"/>
    <col min="2855" max="2855" width="0" style="34" hidden="1" customWidth="1"/>
    <col min="2856" max="3072" width="8.83203125" style="34"/>
    <col min="3073" max="3079" width="0" style="34" hidden="1" customWidth="1"/>
    <col min="3080" max="3080" width="18.1640625" style="34" customWidth="1"/>
    <col min="3081" max="3081" width="0" style="34" hidden="1" customWidth="1"/>
    <col min="3082" max="3082" width="17.33203125" style="34" customWidth="1"/>
    <col min="3083" max="3086" width="0" style="34" hidden="1" customWidth="1"/>
    <col min="3087" max="3087" width="14.6640625" style="34" customWidth="1"/>
    <col min="3088" max="3088" width="7.33203125" style="34" customWidth="1"/>
    <col min="3089" max="3107" width="0" style="34" hidden="1" customWidth="1"/>
    <col min="3108" max="3108" width="8.33203125" style="34" customWidth="1"/>
    <col min="3109" max="3109" width="11.83203125" style="34" customWidth="1"/>
    <col min="3110" max="3110" width="11.5" style="34" customWidth="1"/>
    <col min="3111" max="3111" width="0" style="34" hidden="1" customWidth="1"/>
    <col min="3112" max="3328" width="8.83203125" style="34"/>
    <col min="3329" max="3335" width="0" style="34" hidden="1" customWidth="1"/>
    <col min="3336" max="3336" width="18.1640625" style="34" customWidth="1"/>
    <col min="3337" max="3337" width="0" style="34" hidden="1" customWidth="1"/>
    <col min="3338" max="3338" width="17.33203125" style="34" customWidth="1"/>
    <col min="3339" max="3342" width="0" style="34" hidden="1" customWidth="1"/>
    <col min="3343" max="3343" width="14.6640625" style="34" customWidth="1"/>
    <col min="3344" max="3344" width="7.33203125" style="34" customWidth="1"/>
    <col min="3345" max="3363" width="0" style="34" hidden="1" customWidth="1"/>
    <col min="3364" max="3364" width="8.33203125" style="34" customWidth="1"/>
    <col min="3365" max="3365" width="11.83203125" style="34" customWidth="1"/>
    <col min="3366" max="3366" width="11.5" style="34" customWidth="1"/>
    <col min="3367" max="3367" width="0" style="34" hidden="1" customWidth="1"/>
    <col min="3368" max="3584" width="8.83203125" style="34"/>
    <col min="3585" max="3591" width="0" style="34" hidden="1" customWidth="1"/>
    <col min="3592" max="3592" width="18.1640625" style="34" customWidth="1"/>
    <col min="3593" max="3593" width="0" style="34" hidden="1" customWidth="1"/>
    <col min="3594" max="3594" width="17.33203125" style="34" customWidth="1"/>
    <col min="3595" max="3598" width="0" style="34" hidden="1" customWidth="1"/>
    <col min="3599" max="3599" width="14.6640625" style="34" customWidth="1"/>
    <col min="3600" max="3600" width="7.33203125" style="34" customWidth="1"/>
    <col min="3601" max="3619" width="0" style="34" hidden="1" customWidth="1"/>
    <col min="3620" max="3620" width="8.33203125" style="34" customWidth="1"/>
    <col min="3621" max="3621" width="11.83203125" style="34" customWidth="1"/>
    <col min="3622" max="3622" width="11.5" style="34" customWidth="1"/>
    <col min="3623" max="3623" width="0" style="34" hidden="1" customWidth="1"/>
    <col min="3624" max="3840" width="8.83203125" style="34"/>
    <col min="3841" max="3847" width="0" style="34" hidden="1" customWidth="1"/>
    <col min="3848" max="3848" width="18.1640625" style="34" customWidth="1"/>
    <col min="3849" max="3849" width="0" style="34" hidden="1" customWidth="1"/>
    <col min="3850" max="3850" width="17.33203125" style="34" customWidth="1"/>
    <col min="3851" max="3854" width="0" style="34" hidden="1" customWidth="1"/>
    <col min="3855" max="3855" width="14.6640625" style="34" customWidth="1"/>
    <col min="3856" max="3856" width="7.33203125" style="34" customWidth="1"/>
    <col min="3857" max="3875" width="0" style="34" hidden="1" customWidth="1"/>
    <col min="3876" max="3876" width="8.33203125" style="34" customWidth="1"/>
    <col min="3877" max="3877" width="11.83203125" style="34" customWidth="1"/>
    <col min="3878" max="3878" width="11.5" style="34" customWidth="1"/>
    <col min="3879" max="3879" width="0" style="34" hidden="1" customWidth="1"/>
    <col min="3880" max="4096" width="8.83203125" style="34"/>
    <col min="4097" max="4103" width="0" style="34" hidden="1" customWidth="1"/>
    <col min="4104" max="4104" width="18.1640625" style="34" customWidth="1"/>
    <col min="4105" max="4105" width="0" style="34" hidden="1" customWidth="1"/>
    <col min="4106" max="4106" width="17.33203125" style="34" customWidth="1"/>
    <col min="4107" max="4110" width="0" style="34" hidden="1" customWidth="1"/>
    <col min="4111" max="4111" width="14.6640625" style="34" customWidth="1"/>
    <col min="4112" max="4112" width="7.33203125" style="34" customWidth="1"/>
    <col min="4113" max="4131" width="0" style="34" hidden="1" customWidth="1"/>
    <col min="4132" max="4132" width="8.33203125" style="34" customWidth="1"/>
    <col min="4133" max="4133" width="11.83203125" style="34" customWidth="1"/>
    <col min="4134" max="4134" width="11.5" style="34" customWidth="1"/>
    <col min="4135" max="4135" width="0" style="34" hidden="1" customWidth="1"/>
    <col min="4136" max="4352" width="8.83203125" style="34"/>
    <col min="4353" max="4359" width="0" style="34" hidden="1" customWidth="1"/>
    <col min="4360" max="4360" width="18.1640625" style="34" customWidth="1"/>
    <col min="4361" max="4361" width="0" style="34" hidden="1" customWidth="1"/>
    <col min="4362" max="4362" width="17.33203125" style="34" customWidth="1"/>
    <col min="4363" max="4366" width="0" style="34" hidden="1" customWidth="1"/>
    <col min="4367" max="4367" width="14.6640625" style="34" customWidth="1"/>
    <col min="4368" max="4368" width="7.33203125" style="34" customWidth="1"/>
    <col min="4369" max="4387" width="0" style="34" hidden="1" customWidth="1"/>
    <col min="4388" max="4388" width="8.33203125" style="34" customWidth="1"/>
    <col min="4389" max="4389" width="11.83203125" style="34" customWidth="1"/>
    <col min="4390" max="4390" width="11.5" style="34" customWidth="1"/>
    <col min="4391" max="4391" width="0" style="34" hidden="1" customWidth="1"/>
    <col min="4392" max="4608" width="8.83203125" style="34"/>
    <col min="4609" max="4615" width="0" style="34" hidden="1" customWidth="1"/>
    <col min="4616" max="4616" width="18.1640625" style="34" customWidth="1"/>
    <col min="4617" max="4617" width="0" style="34" hidden="1" customWidth="1"/>
    <col min="4618" max="4618" width="17.33203125" style="34" customWidth="1"/>
    <col min="4619" max="4622" width="0" style="34" hidden="1" customWidth="1"/>
    <col min="4623" max="4623" width="14.6640625" style="34" customWidth="1"/>
    <col min="4624" max="4624" width="7.33203125" style="34" customWidth="1"/>
    <col min="4625" max="4643" width="0" style="34" hidden="1" customWidth="1"/>
    <col min="4644" max="4644" width="8.33203125" style="34" customWidth="1"/>
    <col min="4645" max="4645" width="11.83203125" style="34" customWidth="1"/>
    <col min="4646" max="4646" width="11.5" style="34" customWidth="1"/>
    <col min="4647" max="4647" width="0" style="34" hidden="1" customWidth="1"/>
    <col min="4648" max="4864" width="8.83203125" style="34"/>
    <col min="4865" max="4871" width="0" style="34" hidden="1" customWidth="1"/>
    <col min="4872" max="4872" width="18.1640625" style="34" customWidth="1"/>
    <col min="4873" max="4873" width="0" style="34" hidden="1" customWidth="1"/>
    <col min="4874" max="4874" width="17.33203125" style="34" customWidth="1"/>
    <col min="4875" max="4878" width="0" style="34" hidden="1" customWidth="1"/>
    <col min="4879" max="4879" width="14.6640625" style="34" customWidth="1"/>
    <col min="4880" max="4880" width="7.33203125" style="34" customWidth="1"/>
    <col min="4881" max="4899" width="0" style="34" hidden="1" customWidth="1"/>
    <col min="4900" max="4900" width="8.33203125" style="34" customWidth="1"/>
    <col min="4901" max="4901" width="11.83203125" style="34" customWidth="1"/>
    <col min="4902" max="4902" width="11.5" style="34" customWidth="1"/>
    <col min="4903" max="4903" width="0" style="34" hidden="1" customWidth="1"/>
    <col min="4904" max="5120" width="8.83203125" style="34"/>
    <col min="5121" max="5127" width="0" style="34" hidden="1" customWidth="1"/>
    <col min="5128" max="5128" width="18.1640625" style="34" customWidth="1"/>
    <col min="5129" max="5129" width="0" style="34" hidden="1" customWidth="1"/>
    <col min="5130" max="5130" width="17.33203125" style="34" customWidth="1"/>
    <col min="5131" max="5134" width="0" style="34" hidden="1" customWidth="1"/>
    <col min="5135" max="5135" width="14.6640625" style="34" customWidth="1"/>
    <col min="5136" max="5136" width="7.33203125" style="34" customWidth="1"/>
    <col min="5137" max="5155" width="0" style="34" hidden="1" customWidth="1"/>
    <col min="5156" max="5156" width="8.33203125" style="34" customWidth="1"/>
    <col min="5157" max="5157" width="11.83203125" style="34" customWidth="1"/>
    <col min="5158" max="5158" width="11.5" style="34" customWidth="1"/>
    <col min="5159" max="5159" width="0" style="34" hidden="1" customWidth="1"/>
    <col min="5160" max="5376" width="8.83203125" style="34"/>
    <col min="5377" max="5383" width="0" style="34" hidden="1" customWidth="1"/>
    <col min="5384" max="5384" width="18.1640625" style="34" customWidth="1"/>
    <col min="5385" max="5385" width="0" style="34" hidden="1" customWidth="1"/>
    <col min="5386" max="5386" width="17.33203125" style="34" customWidth="1"/>
    <col min="5387" max="5390" width="0" style="34" hidden="1" customWidth="1"/>
    <col min="5391" max="5391" width="14.6640625" style="34" customWidth="1"/>
    <col min="5392" max="5392" width="7.33203125" style="34" customWidth="1"/>
    <col min="5393" max="5411" width="0" style="34" hidden="1" customWidth="1"/>
    <col min="5412" max="5412" width="8.33203125" style="34" customWidth="1"/>
    <col min="5413" max="5413" width="11.83203125" style="34" customWidth="1"/>
    <col min="5414" max="5414" width="11.5" style="34" customWidth="1"/>
    <col min="5415" max="5415" width="0" style="34" hidden="1" customWidth="1"/>
    <col min="5416" max="5632" width="8.83203125" style="34"/>
    <col min="5633" max="5639" width="0" style="34" hidden="1" customWidth="1"/>
    <col min="5640" max="5640" width="18.1640625" style="34" customWidth="1"/>
    <col min="5641" max="5641" width="0" style="34" hidden="1" customWidth="1"/>
    <col min="5642" max="5642" width="17.33203125" style="34" customWidth="1"/>
    <col min="5643" max="5646" width="0" style="34" hidden="1" customWidth="1"/>
    <col min="5647" max="5647" width="14.6640625" style="34" customWidth="1"/>
    <col min="5648" max="5648" width="7.33203125" style="34" customWidth="1"/>
    <col min="5649" max="5667" width="0" style="34" hidden="1" customWidth="1"/>
    <col min="5668" max="5668" width="8.33203125" style="34" customWidth="1"/>
    <col min="5669" max="5669" width="11.83203125" style="34" customWidth="1"/>
    <col min="5670" max="5670" width="11.5" style="34" customWidth="1"/>
    <col min="5671" max="5671" width="0" style="34" hidden="1" customWidth="1"/>
    <col min="5672" max="5888" width="8.83203125" style="34"/>
    <col min="5889" max="5895" width="0" style="34" hidden="1" customWidth="1"/>
    <col min="5896" max="5896" width="18.1640625" style="34" customWidth="1"/>
    <col min="5897" max="5897" width="0" style="34" hidden="1" customWidth="1"/>
    <col min="5898" max="5898" width="17.33203125" style="34" customWidth="1"/>
    <col min="5899" max="5902" width="0" style="34" hidden="1" customWidth="1"/>
    <col min="5903" max="5903" width="14.6640625" style="34" customWidth="1"/>
    <col min="5904" max="5904" width="7.33203125" style="34" customWidth="1"/>
    <col min="5905" max="5923" width="0" style="34" hidden="1" customWidth="1"/>
    <col min="5924" max="5924" width="8.33203125" style="34" customWidth="1"/>
    <col min="5925" max="5925" width="11.83203125" style="34" customWidth="1"/>
    <col min="5926" max="5926" width="11.5" style="34" customWidth="1"/>
    <col min="5927" max="5927" width="0" style="34" hidden="1" customWidth="1"/>
    <col min="5928" max="6144" width="8.83203125" style="34"/>
    <col min="6145" max="6151" width="0" style="34" hidden="1" customWidth="1"/>
    <col min="6152" max="6152" width="18.1640625" style="34" customWidth="1"/>
    <col min="6153" max="6153" width="0" style="34" hidden="1" customWidth="1"/>
    <col min="6154" max="6154" width="17.33203125" style="34" customWidth="1"/>
    <col min="6155" max="6158" width="0" style="34" hidden="1" customWidth="1"/>
    <col min="6159" max="6159" width="14.6640625" style="34" customWidth="1"/>
    <col min="6160" max="6160" width="7.33203125" style="34" customWidth="1"/>
    <col min="6161" max="6179" width="0" style="34" hidden="1" customWidth="1"/>
    <col min="6180" max="6180" width="8.33203125" style="34" customWidth="1"/>
    <col min="6181" max="6181" width="11.83203125" style="34" customWidth="1"/>
    <col min="6182" max="6182" width="11.5" style="34" customWidth="1"/>
    <col min="6183" max="6183" width="0" style="34" hidden="1" customWidth="1"/>
    <col min="6184" max="6400" width="8.83203125" style="34"/>
    <col min="6401" max="6407" width="0" style="34" hidden="1" customWidth="1"/>
    <col min="6408" max="6408" width="18.1640625" style="34" customWidth="1"/>
    <col min="6409" max="6409" width="0" style="34" hidden="1" customWidth="1"/>
    <col min="6410" max="6410" width="17.33203125" style="34" customWidth="1"/>
    <col min="6411" max="6414" width="0" style="34" hidden="1" customWidth="1"/>
    <col min="6415" max="6415" width="14.6640625" style="34" customWidth="1"/>
    <col min="6416" max="6416" width="7.33203125" style="34" customWidth="1"/>
    <col min="6417" max="6435" width="0" style="34" hidden="1" customWidth="1"/>
    <col min="6436" max="6436" width="8.33203125" style="34" customWidth="1"/>
    <col min="6437" max="6437" width="11.83203125" style="34" customWidth="1"/>
    <col min="6438" max="6438" width="11.5" style="34" customWidth="1"/>
    <col min="6439" max="6439" width="0" style="34" hidden="1" customWidth="1"/>
    <col min="6440" max="6656" width="8.83203125" style="34"/>
    <col min="6657" max="6663" width="0" style="34" hidden="1" customWidth="1"/>
    <col min="6664" max="6664" width="18.1640625" style="34" customWidth="1"/>
    <col min="6665" max="6665" width="0" style="34" hidden="1" customWidth="1"/>
    <col min="6666" max="6666" width="17.33203125" style="34" customWidth="1"/>
    <col min="6667" max="6670" width="0" style="34" hidden="1" customWidth="1"/>
    <col min="6671" max="6671" width="14.6640625" style="34" customWidth="1"/>
    <col min="6672" max="6672" width="7.33203125" style="34" customWidth="1"/>
    <col min="6673" max="6691" width="0" style="34" hidden="1" customWidth="1"/>
    <col min="6692" max="6692" width="8.33203125" style="34" customWidth="1"/>
    <col min="6693" max="6693" width="11.83203125" style="34" customWidth="1"/>
    <col min="6694" max="6694" width="11.5" style="34" customWidth="1"/>
    <col min="6695" max="6695" width="0" style="34" hidden="1" customWidth="1"/>
    <col min="6696" max="6912" width="8.83203125" style="34"/>
    <col min="6913" max="6919" width="0" style="34" hidden="1" customWidth="1"/>
    <col min="6920" max="6920" width="18.1640625" style="34" customWidth="1"/>
    <col min="6921" max="6921" width="0" style="34" hidden="1" customWidth="1"/>
    <col min="6922" max="6922" width="17.33203125" style="34" customWidth="1"/>
    <col min="6923" max="6926" width="0" style="34" hidden="1" customWidth="1"/>
    <col min="6927" max="6927" width="14.6640625" style="34" customWidth="1"/>
    <col min="6928" max="6928" width="7.33203125" style="34" customWidth="1"/>
    <col min="6929" max="6947" width="0" style="34" hidden="1" customWidth="1"/>
    <col min="6948" max="6948" width="8.33203125" style="34" customWidth="1"/>
    <col min="6949" max="6949" width="11.83203125" style="34" customWidth="1"/>
    <col min="6950" max="6950" width="11.5" style="34" customWidth="1"/>
    <col min="6951" max="6951" width="0" style="34" hidden="1" customWidth="1"/>
    <col min="6952" max="7168" width="8.83203125" style="34"/>
    <col min="7169" max="7175" width="0" style="34" hidden="1" customWidth="1"/>
    <col min="7176" max="7176" width="18.1640625" style="34" customWidth="1"/>
    <col min="7177" max="7177" width="0" style="34" hidden="1" customWidth="1"/>
    <col min="7178" max="7178" width="17.33203125" style="34" customWidth="1"/>
    <col min="7179" max="7182" width="0" style="34" hidden="1" customWidth="1"/>
    <col min="7183" max="7183" width="14.6640625" style="34" customWidth="1"/>
    <col min="7184" max="7184" width="7.33203125" style="34" customWidth="1"/>
    <col min="7185" max="7203" width="0" style="34" hidden="1" customWidth="1"/>
    <col min="7204" max="7204" width="8.33203125" style="34" customWidth="1"/>
    <col min="7205" max="7205" width="11.83203125" style="34" customWidth="1"/>
    <col min="7206" max="7206" width="11.5" style="34" customWidth="1"/>
    <col min="7207" max="7207" width="0" style="34" hidden="1" customWidth="1"/>
    <col min="7208" max="7424" width="8.83203125" style="34"/>
    <col min="7425" max="7431" width="0" style="34" hidden="1" customWidth="1"/>
    <col min="7432" max="7432" width="18.1640625" style="34" customWidth="1"/>
    <col min="7433" max="7433" width="0" style="34" hidden="1" customWidth="1"/>
    <col min="7434" max="7434" width="17.33203125" style="34" customWidth="1"/>
    <col min="7435" max="7438" width="0" style="34" hidden="1" customWidth="1"/>
    <col min="7439" max="7439" width="14.6640625" style="34" customWidth="1"/>
    <col min="7440" max="7440" width="7.33203125" style="34" customWidth="1"/>
    <col min="7441" max="7459" width="0" style="34" hidden="1" customWidth="1"/>
    <col min="7460" max="7460" width="8.33203125" style="34" customWidth="1"/>
    <col min="7461" max="7461" width="11.83203125" style="34" customWidth="1"/>
    <col min="7462" max="7462" width="11.5" style="34" customWidth="1"/>
    <col min="7463" max="7463" width="0" style="34" hidden="1" customWidth="1"/>
    <col min="7464" max="7680" width="8.83203125" style="34"/>
    <col min="7681" max="7687" width="0" style="34" hidden="1" customWidth="1"/>
    <col min="7688" max="7688" width="18.1640625" style="34" customWidth="1"/>
    <col min="7689" max="7689" width="0" style="34" hidden="1" customWidth="1"/>
    <col min="7690" max="7690" width="17.33203125" style="34" customWidth="1"/>
    <col min="7691" max="7694" width="0" style="34" hidden="1" customWidth="1"/>
    <col min="7695" max="7695" width="14.6640625" style="34" customWidth="1"/>
    <col min="7696" max="7696" width="7.33203125" style="34" customWidth="1"/>
    <col min="7697" max="7715" width="0" style="34" hidden="1" customWidth="1"/>
    <col min="7716" max="7716" width="8.33203125" style="34" customWidth="1"/>
    <col min="7717" max="7717" width="11.83203125" style="34" customWidth="1"/>
    <col min="7718" max="7718" width="11.5" style="34" customWidth="1"/>
    <col min="7719" max="7719" width="0" style="34" hidden="1" customWidth="1"/>
    <col min="7720" max="7936" width="8.83203125" style="34"/>
    <col min="7937" max="7943" width="0" style="34" hidden="1" customWidth="1"/>
    <col min="7944" max="7944" width="18.1640625" style="34" customWidth="1"/>
    <col min="7945" max="7945" width="0" style="34" hidden="1" customWidth="1"/>
    <col min="7946" max="7946" width="17.33203125" style="34" customWidth="1"/>
    <col min="7947" max="7950" width="0" style="34" hidden="1" customWidth="1"/>
    <col min="7951" max="7951" width="14.6640625" style="34" customWidth="1"/>
    <col min="7952" max="7952" width="7.33203125" style="34" customWidth="1"/>
    <col min="7953" max="7971" width="0" style="34" hidden="1" customWidth="1"/>
    <col min="7972" max="7972" width="8.33203125" style="34" customWidth="1"/>
    <col min="7973" max="7973" width="11.83203125" style="34" customWidth="1"/>
    <col min="7974" max="7974" width="11.5" style="34" customWidth="1"/>
    <col min="7975" max="7975" width="0" style="34" hidden="1" customWidth="1"/>
    <col min="7976" max="8192" width="8.83203125" style="34"/>
    <col min="8193" max="8199" width="0" style="34" hidden="1" customWidth="1"/>
    <col min="8200" max="8200" width="18.1640625" style="34" customWidth="1"/>
    <col min="8201" max="8201" width="0" style="34" hidden="1" customWidth="1"/>
    <col min="8202" max="8202" width="17.33203125" style="34" customWidth="1"/>
    <col min="8203" max="8206" width="0" style="34" hidden="1" customWidth="1"/>
    <col min="8207" max="8207" width="14.6640625" style="34" customWidth="1"/>
    <col min="8208" max="8208" width="7.33203125" style="34" customWidth="1"/>
    <col min="8209" max="8227" width="0" style="34" hidden="1" customWidth="1"/>
    <col min="8228" max="8228" width="8.33203125" style="34" customWidth="1"/>
    <col min="8229" max="8229" width="11.83203125" style="34" customWidth="1"/>
    <col min="8230" max="8230" width="11.5" style="34" customWidth="1"/>
    <col min="8231" max="8231" width="0" style="34" hidden="1" customWidth="1"/>
    <col min="8232" max="8448" width="8.83203125" style="34"/>
    <col min="8449" max="8455" width="0" style="34" hidden="1" customWidth="1"/>
    <col min="8456" max="8456" width="18.1640625" style="34" customWidth="1"/>
    <col min="8457" max="8457" width="0" style="34" hidden="1" customWidth="1"/>
    <col min="8458" max="8458" width="17.33203125" style="34" customWidth="1"/>
    <col min="8459" max="8462" width="0" style="34" hidden="1" customWidth="1"/>
    <col min="8463" max="8463" width="14.6640625" style="34" customWidth="1"/>
    <col min="8464" max="8464" width="7.33203125" style="34" customWidth="1"/>
    <col min="8465" max="8483" width="0" style="34" hidden="1" customWidth="1"/>
    <col min="8484" max="8484" width="8.33203125" style="34" customWidth="1"/>
    <col min="8485" max="8485" width="11.83203125" style="34" customWidth="1"/>
    <col min="8486" max="8486" width="11.5" style="34" customWidth="1"/>
    <col min="8487" max="8487" width="0" style="34" hidden="1" customWidth="1"/>
    <col min="8488" max="8704" width="8.83203125" style="34"/>
    <col min="8705" max="8711" width="0" style="34" hidden="1" customWidth="1"/>
    <col min="8712" max="8712" width="18.1640625" style="34" customWidth="1"/>
    <col min="8713" max="8713" width="0" style="34" hidden="1" customWidth="1"/>
    <col min="8714" max="8714" width="17.33203125" style="34" customWidth="1"/>
    <col min="8715" max="8718" width="0" style="34" hidden="1" customWidth="1"/>
    <col min="8719" max="8719" width="14.6640625" style="34" customWidth="1"/>
    <col min="8720" max="8720" width="7.33203125" style="34" customWidth="1"/>
    <col min="8721" max="8739" width="0" style="34" hidden="1" customWidth="1"/>
    <col min="8740" max="8740" width="8.33203125" style="34" customWidth="1"/>
    <col min="8741" max="8741" width="11.83203125" style="34" customWidth="1"/>
    <col min="8742" max="8742" width="11.5" style="34" customWidth="1"/>
    <col min="8743" max="8743" width="0" style="34" hidden="1" customWidth="1"/>
    <col min="8744" max="8960" width="8.83203125" style="34"/>
    <col min="8961" max="8967" width="0" style="34" hidden="1" customWidth="1"/>
    <col min="8968" max="8968" width="18.1640625" style="34" customWidth="1"/>
    <col min="8969" max="8969" width="0" style="34" hidden="1" customWidth="1"/>
    <col min="8970" max="8970" width="17.33203125" style="34" customWidth="1"/>
    <col min="8971" max="8974" width="0" style="34" hidden="1" customWidth="1"/>
    <col min="8975" max="8975" width="14.6640625" style="34" customWidth="1"/>
    <col min="8976" max="8976" width="7.33203125" style="34" customWidth="1"/>
    <col min="8977" max="8995" width="0" style="34" hidden="1" customWidth="1"/>
    <col min="8996" max="8996" width="8.33203125" style="34" customWidth="1"/>
    <col min="8997" max="8997" width="11.83203125" style="34" customWidth="1"/>
    <col min="8998" max="8998" width="11.5" style="34" customWidth="1"/>
    <col min="8999" max="8999" width="0" style="34" hidden="1" customWidth="1"/>
    <col min="9000" max="9216" width="8.83203125" style="34"/>
    <col min="9217" max="9223" width="0" style="34" hidden="1" customWidth="1"/>
    <col min="9224" max="9224" width="18.1640625" style="34" customWidth="1"/>
    <col min="9225" max="9225" width="0" style="34" hidden="1" customWidth="1"/>
    <col min="9226" max="9226" width="17.33203125" style="34" customWidth="1"/>
    <col min="9227" max="9230" width="0" style="34" hidden="1" customWidth="1"/>
    <col min="9231" max="9231" width="14.6640625" style="34" customWidth="1"/>
    <col min="9232" max="9232" width="7.33203125" style="34" customWidth="1"/>
    <col min="9233" max="9251" width="0" style="34" hidden="1" customWidth="1"/>
    <col min="9252" max="9252" width="8.33203125" style="34" customWidth="1"/>
    <col min="9253" max="9253" width="11.83203125" style="34" customWidth="1"/>
    <col min="9254" max="9254" width="11.5" style="34" customWidth="1"/>
    <col min="9255" max="9255" width="0" style="34" hidden="1" customWidth="1"/>
    <col min="9256" max="9472" width="8.83203125" style="34"/>
    <col min="9473" max="9479" width="0" style="34" hidden="1" customWidth="1"/>
    <col min="9480" max="9480" width="18.1640625" style="34" customWidth="1"/>
    <col min="9481" max="9481" width="0" style="34" hidden="1" customWidth="1"/>
    <col min="9482" max="9482" width="17.33203125" style="34" customWidth="1"/>
    <col min="9483" max="9486" width="0" style="34" hidden="1" customWidth="1"/>
    <col min="9487" max="9487" width="14.6640625" style="34" customWidth="1"/>
    <col min="9488" max="9488" width="7.33203125" style="34" customWidth="1"/>
    <col min="9489" max="9507" width="0" style="34" hidden="1" customWidth="1"/>
    <col min="9508" max="9508" width="8.33203125" style="34" customWidth="1"/>
    <col min="9509" max="9509" width="11.83203125" style="34" customWidth="1"/>
    <col min="9510" max="9510" width="11.5" style="34" customWidth="1"/>
    <col min="9511" max="9511" width="0" style="34" hidden="1" customWidth="1"/>
    <col min="9512" max="9728" width="8.83203125" style="34"/>
    <col min="9729" max="9735" width="0" style="34" hidden="1" customWidth="1"/>
    <col min="9736" max="9736" width="18.1640625" style="34" customWidth="1"/>
    <col min="9737" max="9737" width="0" style="34" hidden="1" customWidth="1"/>
    <col min="9738" max="9738" width="17.33203125" style="34" customWidth="1"/>
    <col min="9739" max="9742" width="0" style="34" hidden="1" customWidth="1"/>
    <col min="9743" max="9743" width="14.6640625" style="34" customWidth="1"/>
    <col min="9744" max="9744" width="7.33203125" style="34" customWidth="1"/>
    <col min="9745" max="9763" width="0" style="34" hidden="1" customWidth="1"/>
    <col min="9764" max="9764" width="8.33203125" style="34" customWidth="1"/>
    <col min="9765" max="9765" width="11.83203125" style="34" customWidth="1"/>
    <col min="9766" max="9766" width="11.5" style="34" customWidth="1"/>
    <col min="9767" max="9767" width="0" style="34" hidden="1" customWidth="1"/>
    <col min="9768" max="9984" width="8.83203125" style="34"/>
    <col min="9985" max="9991" width="0" style="34" hidden="1" customWidth="1"/>
    <col min="9992" max="9992" width="18.1640625" style="34" customWidth="1"/>
    <col min="9993" max="9993" width="0" style="34" hidden="1" customWidth="1"/>
    <col min="9994" max="9994" width="17.33203125" style="34" customWidth="1"/>
    <col min="9995" max="9998" width="0" style="34" hidden="1" customWidth="1"/>
    <col min="9999" max="9999" width="14.6640625" style="34" customWidth="1"/>
    <col min="10000" max="10000" width="7.33203125" style="34" customWidth="1"/>
    <col min="10001" max="10019" width="0" style="34" hidden="1" customWidth="1"/>
    <col min="10020" max="10020" width="8.33203125" style="34" customWidth="1"/>
    <col min="10021" max="10021" width="11.83203125" style="34" customWidth="1"/>
    <col min="10022" max="10022" width="11.5" style="34" customWidth="1"/>
    <col min="10023" max="10023" width="0" style="34" hidden="1" customWidth="1"/>
    <col min="10024" max="10240" width="8.83203125" style="34"/>
    <col min="10241" max="10247" width="0" style="34" hidden="1" customWidth="1"/>
    <col min="10248" max="10248" width="18.1640625" style="34" customWidth="1"/>
    <col min="10249" max="10249" width="0" style="34" hidden="1" customWidth="1"/>
    <col min="10250" max="10250" width="17.33203125" style="34" customWidth="1"/>
    <col min="10251" max="10254" width="0" style="34" hidden="1" customWidth="1"/>
    <col min="10255" max="10255" width="14.6640625" style="34" customWidth="1"/>
    <col min="10256" max="10256" width="7.33203125" style="34" customWidth="1"/>
    <col min="10257" max="10275" width="0" style="34" hidden="1" customWidth="1"/>
    <col min="10276" max="10276" width="8.33203125" style="34" customWidth="1"/>
    <col min="10277" max="10277" width="11.83203125" style="34" customWidth="1"/>
    <col min="10278" max="10278" width="11.5" style="34" customWidth="1"/>
    <col min="10279" max="10279" width="0" style="34" hidden="1" customWidth="1"/>
    <col min="10280" max="10496" width="8.83203125" style="34"/>
    <col min="10497" max="10503" width="0" style="34" hidden="1" customWidth="1"/>
    <col min="10504" max="10504" width="18.1640625" style="34" customWidth="1"/>
    <col min="10505" max="10505" width="0" style="34" hidden="1" customWidth="1"/>
    <col min="10506" max="10506" width="17.33203125" style="34" customWidth="1"/>
    <col min="10507" max="10510" width="0" style="34" hidden="1" customWidth="1"/>
    <col min="10511" max="10511" width="14.6640625" style="34" customWidth="1"/>
    <col min="10512" max="10512" width="7.33203125" style="34" customWidth="1"/>
    <col min="10513" max="10531" width="0" style="34" hidden="1" customWidth="1"/>
    <col min="10532" max="10532" width="8.33203125" style="34" customWidth="1"/>
    <col min="10533" max="10533" width="11.83203125" style="34" customWidth="1"/>
    <col min="10534" max="10534" width="11.5" style="34" customWidth="1"/>
    <col min="10535" max="10535" width="0" style="34" hidden="1" customWidth="1"/>
    <col min="10536" max="10752" width="8.83203125" style="34"/>
    <col min="10753" max="10759" width="0" style="34" hidden="1" customWidth="1"/>
    <col min="10760" max="10760" width="18.1640625" style="34" customWidth="1"/>
    <col min="10761" max="10761" width="0" style="34" hidden="1" customWidth="1"/>
    <col min="10762" max="10762" width="17.33203125" style="34" customWidth="1"/>
    <col min="10763" max="10766" width="0" style="34" hidden="1" customWidth="1"/>
    <col min="10767" max="10767" width="14.6640625" style="34" customWidth="1"/>
    <col min="10768" max="10768" width="7.33203125" style="34" customWidth="1"/>
    <col min="10769" max="10787" width="0" style="34" hidden="1" customWidth="1"/>
    <col min="10788" max="10788" width="8.33203125" style="34" customWidth="1"/>
    <col min="10789" max="10789" width="11.83203125" style="34" customWidth="1"/>
    <col min="10790" max="10790" width="11.5" style="34" customWidth="1"/>
    <col min="10791" max="10791" width="0" style="34" hidden="1" customWidth="1"/>
    <col min="10792" max="11008" width="8.83203125" style="34"/>
    <col min="11009" max="11015" width="0" style="34" hidden="1" customWidth="1"/>
    <col min="11016" max="11016" width="18.1640625" style="34" customWidth="1"/>
    <col min="11017" max="11017" width="0" style="34" hidden="1" customWidth="1"/>
    <col min="11018" max="11018" width="17.33203125" style="34" customWidth="1"/>
    <col min="11019" max="11022" width="0" style="34" hidden="1" customWidth="1"/>
    <col min="11023" max="11023" width="14.6640625" style="34" customWidth="1"/>
    <col min="11024" max="11024" width="7.33203125" style="34" customWidth="1"/>
    <col min="11025" max="11043" width="0" style="34" hidden="1" customWidth="1"/>
    <col min="11044" max="11044" width="8.33203125" style="34" customWidth="1"/>
    <col min="11045" max="11045" width="11.83203125" style="34" customWidth="1"/>
    <col min="11046" max="11046" width="11.5" style="34" customWidth="1"/>
    <col min="11047" max="11047" width="0" style="34" hidden="1" customWidth="1"/>
    <col min="11048" max="11264" width="8.83203125" style="34"/>
    <col min="11265" max="11271" width="0" style="34" hidden="1" customWidth="1"/>
    <col min="11272" max="11272" width="18.1640625" style="34" customWidth="1"/>
    <col min="11273" max="11273" width="0" style="34" hidden="1" customWidth="1"/>
    <col min="11274" max="11274" width="17.33203125" style="34" customWidth="1"/>
    <col min="11275" max="11278" width="0" style="34" hidden="1" customWidth="1"/>
    <col min="11279" max="11279" width="14.6640625" style="34" customWidth="1"/>
    <col min="11280" max="11280" width="7.33203125" style="34" customWidth="1"/>
    <col min="11281" max="11299" width="0" style="34" hidden="1" customWidth="1"/>
    <col min="11300" max="11300" width="8.33203125" style="34" customWidth="1"/>
    <col min="11301" max="11301" width="11.83203125" style="34" customWidth="1"/>
    <col min="11302" max="11302" width="11.5" style="34" customWidth="1"/>
    <col min="11303" max="11303" width="0" style="34" hidden="1" customWidth="1"/>
    <col min="11304" max="11520" width="8.83203125" style="34"/>
    <col min="11521" max="11527" width="0" style="34" hidden="1" customWidth="1"/>
    <col min="11528" max="11528" width="18.1640625" style="34" customWidth="1"/>
    <col min="11529" max="11529" width="0" style="34" hidden="1" customWidth="1"/>
    <col min="11530" max="11530" width="17.33203125" style="34" customWidth="1"/>
    <col min="11531" max="11534" width="0" style="34" hidden="1" customWidth="1"/>
    <col min="11535" max="11535" width="14.6640625" style="34" customWidth="1"/>
    <col min="11536" max="11536" width="7.33203125" style="34" customWidth="1"/>
    <col min="11537" max="11555" width="0" style="34" hidden="1" customWidth="1"/>
    <col min="11556" max="11556" width="8.33203125" style="34" customWidth="1"/>
    <col min="11557" max="11557" width="11.83203125" style="34" customWidth="1"/>
    <col min="11558" max="11558" width="11.5" style="34" customWidth="1"/>
    <col min="11559" max="11559" width="0" style="34" hidden="1" customWidth="1"/>
    <col min="11560" max="11776" width="8.83203125" style="34"/>
    <col min="11777" max="11783" width="0" style="34" hidden="1" customWidth="1"/>
    <col min="11784" max="11784" width="18.1640625" style="34" customWidth="1"/>
    <col min="11785" max="11785" width="0" style="34" hidden="1" customWidth="1"/>
    <col min="11786" max="11786" width="17.33203125" style="34" customWidth="1"/>
    <col min="11787" max="11790" width="0" style="34" hidden="1" customWidth="1"/>
    <col min="11791" max="11791" width="14.6640625" style="34" customWidth="1"/>
    <col min="11792" max="11792" width="7.33203125" style="34" customWidth="1"/>
    <col min="11793" max="11811" width="0" style="34" hidden="1" customWidth="1"/>
    <col min="11812" max="11812" width="8.33203125" style="34" customWidth="1"/>
    <col min="11813" max="11813" width="11.83203125" style="34" customWidth="1"/>
    <col min="11814" max="11814" width="11.5" style="34" customWidth="1"/>
    <col min="11815" max="11815" width="0" style="34" hidden="1" customWidth="1"/>
    <col min="11816" max="12032" width="8.83203125" style="34"/>
    <col min="12033" max="12039" width="0" style="34" hidden="1" customWidth="1"/>
    <col min="12040" max="12040" width="18.1640625" style="34" customWidth="1"/>
    <col min="12041" max="12041" width="0" style="34" hidden="1" customWidth="1"/>
    <col min="12042" max="12042" width="17.33203125" style="34" customWidth="1"/>
    <col min="12043" max="12046" width="0" style="34" hidden="1" customWidth="1"/>
    <col min="12047" max="12047" width="14.6640625" style="34" customWidth="1"/>
    <col min="12048" max="12048" width="7.33203125" style="34" customWidth="1"/>
    <col min="12049" max="12067" width="0" style="34" hidden="1" customWidth="1"/>
    <col min="12068" max="12068" width="8.33203125" style="34" customWidth="1"/>
    <col min="12069" max="12069" width="11.83203125" style="34" customWidth="1"/>
    <col min="12070" max="12070" width="11.5" style="34" customWidth="1"/>
    <col min="12071" max="12071" width="0" style="34" hidden="1" customWidth="1"/>
    <col min="12072" max="12288" width="8.83203125" style="34"/>
    <col min="12289" max="12295" width="0" style="34" hidden="1" customWidth="1"/>
    <col min="12296" max="12296" width="18.1640625" style="34" customWidth="1"/>
    <col min="12297" max="12297" width="0" style="34" hidden="1" customWidth="1"/>
    <col min="12298" max="12298" width="17.33203125" style="34" customWidth="1"/>
    <col min="12299" max="12302" width="0" style="34" hidden="1" customWidth="1"/>
    <col min="12303" max="12303" width="14.6640625" style="34" customWidth="1"/>
    <col min="12304" max="12304" width="7.33203125" style="34" customWidth="1"/>
    <col min="12305" max="12323" width="0" style="34" hidden="1" customWidth="1"/>
    <col min="12324" max="12324" width="8.33203125" style="34" customWidth="1"/>
    <col min="12325" max="12325" width="11.83203125" style="34" customWidth="1"/>
    <col min="12326" max="12326" width="11.5" style="34" customWidth="1"/>
    <col min="12327" max="12327" width="0" style="34" hidden="1" customWidth="1"/>
    <col min="12328" max="12544" width="8.83203125" style="34"/>
    <col min="12545" max="12551" width="0" style="34" hidden="1" customWidth="1"/>
    <col min="12552" max="12552" width="18.1640625" style="34" customWidth="1"/>
    <col min="12553" max="12553" width="0" style="34" hidden="1" customWidth="1"/>
    <col min="12554" max="12554" width="17.33203125" style="34" customWidth="1"/>
    <col min="12555" max="12558" width="0" style="34" hidden="1" customWidth="1"/>
    <col min="12559" max="12559" width="14.6640625" style="34" customWidth="1"/>
    <col min="12560" max="12560" width="7.33203125" style="34" customWidth="1"/>
    <col min="12561" max="12579" width="0" style="34" hidden="1" customWidth="1"/>
    <col min="12580" max="12580" width="8.33203125" style="34" customWidth="1"/>
    <col min="12581" max="12581" width="11.83203125" style="34" customWidth="1"/>
    <col min="12582" max="12582" width="11.5" style="34" customWidth="1"/>
    <col min="12583" max="12583" width="0" style="34" hidden="1" customWidth="1"/>
    <col min="12584" max="12800" width="8.83203125" style="34"/>
    <col min="12801" max="12807" width="0" style="34" hidden="1" customWidth="1"/>
    <col min="12808" max="12808" width="18.1640625" style="34" customWidth="1"/>
    <col min="12809" max="12809" width="0" style="34" hidden="1" customWidth="1"/>
    <col min="12810" max="12810" width="17.33203125" style="34" customWidth="1"/>
    <col min="12811" max="12814" width="0" style="34" hidden="1" customWidth="1"/>
    <col min="12815" max="12815" width="14.6640625" style="34" customWidth="1"/>
    <col min="12816" max="12816" width="7.33203125" style="34" customWidth="1"/>
    <col min="12817" max="12835" width="0" style="34" hidden="1" customWidth="1"/>
    <col min="12836" max="12836" width="8.33203125" style="34" customWidth="1"/>
    <col min="12837" max="12837" width="11.83203125" style="34" customWidth="1"/>
    <col min="12838" max="12838" width="11.5" style="34" customWidth="1"/>
    <col min="12839" max="12839" width="0" style="34" hidden="1" customWidth="1"/>
    <col min="12840" max="13056" width="8.83203125" style="34"/>
    <col min="13057" max="13063" width="0" style="34" hidden="1" customWidth="1"/>
    <col min="13064" max="13064" width="18.1640625" style="34" customWidth="1"/>
    <col min="13065" max="13065" width="0" style="34" hidden="1" customWidth="1"/>
    <col min="13066" max="13066" width="17.33203125" style="34" customWidth="1"/>
    <col min="13067" max="13070" width="0" style="34" hidden="1" customWidth="1"/>
    <col min="13071" max="13071" width="14.6640625" style="34" customWidth="1"/>
    <col min="13072" max="13072" width="7.33203125" style="34" customWidth="1"/>
    <col min="13073" max="13091" width="0" style="34" hidden="1" customWidth="1"/>
    <col min="13092" max="13092" width="8.33203125" style="34" customWidth="1"/>
    <col min="13093" max="13093" width="11.83203125" style="34" customWidth="1"/>
    <col min="13094" max="13094" width="11.5" style="34" customWidth="1"/>
    <col min="13095" max="13095" width="0" style="34" hidden="1" customWidth="1"/>
    <col min="13096" max="13312" width="8.83203125" style="34"/>
    <col min="13313" max="13319" width="0" style="34" hidden="1" customWidth="1"/>
    <col min="13320" max="13320" width="18.1640625" style="34" customWidth="1"/>
    <col min="13321" max="13321" width="0" style="34" hidden="1" customWidth="1"/>
    <col min="13322" max="13322" width="17.33203125" style="34" customWidth="1"/>
    <col min="13323" max="13326" width="0" style="34" hidden="1" customWidth="1"/>
    <col min="13327" max="13327" width="14.6640625" style="34" customWidth="1"/>
    <col min="13328" max="13328" width="7.33203125" style="34" customWidth="1"/>
    <col min="13329" max="13347" width="0" style="34" hidden="1" customWidth="1"/>
    <col min="13348" max="13348" width="8.33203125" style="34" customWidth="1"/>
    <col min="13349" max="13349" width="11.83203125" style="34" customWidth="1"/>
    <col min="13350" max="13350" width="11.5" style="34" customWidth="1"/>
    <col min="13351" max="13351" width="0" style="34" hidden="1" customWidth="1"/>
    <col min="13352" max="13568" width="8.83203125" style="34"/>
    <col min="13569" max="13575" width="0" style="34" hidden="1" customWidth="1"/>
    <col min="13576" max="13576" width="18.1640625" style="34" customWidth="1"/>
    <col min="13577" max="13577" width="0" style="34" hidden="1" customWidth="1"/>
    <col min="13578" max="13578" width="17.33203125" style="34" customWidth="1"/>
    <col min="13579" max="13582" width="0" style="34" hidden="1" customWidth="1"/>
    <col min="13583" max="13583" width="14.6640625" style="34" customWidth="1"/>
    <col min="13584" max="13584" width="7.33203125" style="34" customWidth="1"/>
    <col min="13585" max="13603" width="0" style="34" hidden="1" customWidth="1"/>
    <col min="13604" max="13604" width="8.33203125" style="34" customWidth="1"/>
    <col min="13605" max="13605" width="11.83203125" style="34" customWidth="1"/>
    <col min="13606" max="13606" width="11.5" style="34" customWidth="1"/>
    <col min="13607" max="13607" width="0" style="34" hidden="1" customWidth="1"/>
    <col min="13608" max="13824" width="8.83203125" style="34"/>
    <col min="13825" max="13831" width="0" style="34" hidden="1" customWidth="1"/>
    <col min="13832" max="13832" width="18.1640625" style="34" customWidth="1"/>
    <col min="13833" max="13833" width="0" style="34" hidden="1" customWidth="1"/>
    <col min="13834" max="13834" width="17.33203125" style="34" customWidth="1"/>
    <col min="13835" max="13838" width="0" style="34" hidden="1" customWidth="1"/>
    <col min="13839" max="13839" width="14.6640625" style="34" customWidth="1"/>
    <col min="13840" max="13840" width="7.33203125" style="34" customWidth="1"/>
    <col min="13841" max="13859" width="0" style="34" hidden="1" customWidth="1"/>
    <col min="13860" max="13860" width="8.33203125" style="34" customWidth="1"/>
    <col min="13861" max="13861" width="11.83203125" style="34" customWidth="1"/>
    <col min="13862" max="13862" width="11.5" style="34" customWidth="1"/>
    <col min="13863" max="13863" width="0" style="34" hidden="1" customWidth="1"/>
    <col min="13864" max="14080" width="8.83203125" style="34"/>
    <col min="14081" max="14087" width="0" style="34" hidden="1" customWidth="1"/>
    <col min="14088" max="14088" width="18.1640625" style="34" customWidth="1"/>
    <col min="14089" max="14089" width="0" style="34" hidden="1" customWidth="1"/>
    <col min="14090" max="14090" width="17.33203125" style="34" customWidth="1"/>
    <col min="14091" max="14094" width="0" style="34" hidden="1" customWidth="1"/>
    <col min="14095" max="14095" width="14.6640625" style="34" customWidth="1"/>
    <col min="14096" max="14096" width="7.33203125" style="34" customWidth="1"/>
    <col min="14097" max="14115" width="0" style="34" hidden="1" customWidth="1"/>
    <col min="14116" max="14116" width="8.33203125" style="34" customWidth="1"/>
    <col min="14117" max="14117" width="11.83203125" style="34" customWidth="1"/>
    <col min="14118" max="14118" width="11.5" style="34" customWidth="1"/>
    <col min="14119" max="14119" width="0" style="34" hidden="1" customWidth="1"/>
    <col min="14120" max="14336" width="8.83203125" style="34"/>
    <col min="14337" max="14343" width="0" style="34" hidden="1" customWidth="1"/>
    <col min="14344" max="14344" width="18.1640625" style="34" customWidth="1"/>
    <col min="14345" max="14345" width="0" style="34" hidden="1" customWidth="1"/>
    <col min="14346" max="14346" width="17.33203125" style="34" customWidth="1"/>
    <col min="14347" max="14350" width="0" style="34" hidden="1" customWidth="1"/>
    <col min="14351" max="14351" width="14.6640625" style="34" customWidth="1"/>
    <col min="14352" max="14352" width="7.33203125" style="34" customWidth="1"/>
    <col min="14353" max="14371" width="0" style="34" hidden="1" customWidth="1"/>
    <col min="14372" max="14372" width="8.33203125" style="34" customWidth="1"/>
    <col min="14373" max="14373" width="11.83203125" style="34" customWidth="1"/>
    <col min="14374" max="14374" width="11.5" style="34" customWidth="1"/>
    <col min="14375" max="14375" width="0" style="34" hidden="1" customWidth="1"/>
    <col min="14376" max="14592" width="8.83203125" style="34"/>
    <col min="14593" max="14599" width="0" style="34" hidden="1" customWidth="1"/>
    <col min="14600" max="14600" width="18.1640625" style="34" customWidth="1"/>
    <col min="14601" max="14601" width="0" style="34" hidden="1" customWidth="1"/>
    <col min="14602" max="14602" width="17.33203125" style="34" customWidth="1"/>
    <col min="14603" max="14606" width="0" style="34" hidden="1" customWidth="1"/>
    <col min="14607" max="14607" width="14.6640625" style="34" customWidth="1"/>
    <col min="14608" max="14608" width="7.33203125" style="34" customWidth="1"/>
    <col min="14609" max="14627" width="0" style="34" hidden="1" customWidth="1"/>
    <col min="14628" max="14628" width="8.33203125" style="34" customWidth="1"/>
    <col min="14629" max="14629" width="11.83203125" style="34" customWidth="1"/>
    <col min="14630" max="14630" width="11.5" style="34" customWidth="1"/>
    <col min="14631" max="14631" width="0" style="34" hidden="1" customWidth="1"/>
    <col min="14632" max="14848" width="8.83203125" style="34"/>
    <col min="14849" max="14855" width="0" style="34" hidden="1" customWidth="1"/>
    <col min="14856" max="14856" width="18.1640625" style="34" customWidth="1"/>
    <col min="14857" max="14857" width="0" style="34" hidden="1" customWidth="1"/>
    <col min="14858" max="14858" width="17.33203125" style="34" customWidth="1"/>
    <col min="14859" max="14862" width="0" style="34" hidden="1" customWidth="1"/>
    <col min="14863" max="14863" width="14.6640625" style="34" customWidth="1"/>
    <col min="14864" max="14864" width="7.33203125" style="34" customWidth="1"/>
    <col min="14865" max="14883" width="0" style="34" hidden="1" customWidth="1"/>
    <col min="14884" max="14884" width="8.33203125" style="34" customWidth="1"/>
    <col min="14885" max="14885" width="11.83203125" style="34" customWidth="1"/>
    <col min="14886" max="14886" width="11.5" style="34" customWidth="1"/>
    <col min="14887" max="14887" width="0" style="34" hidden="1" customWidth="1"/>
    <col min="14888" max="15104" width="8.83203125" style="34"/>
    <col min="15105" max="15111" width="0" style="34" hidden="1" customWidth="1"/>
    <col min="15112" max="15112" width="18.1640625" style="34" customWidth="1"/>
    <col min="15113" max="15113" width="0" style="34" hidden="1" customWidth="1"/>
    <col min="15114" max="15114" width="17.33203125" style="34" customWidth="1"/>
    <col min="15115" max="15118" width="0" style="34" hidden="1" customWidth="1"/>
    <col min="15119" max="15119" width="14.6640625" style="34" customWidth="1"/>
    <col min="15120" max="15120" width="7.33203125" style="34" customWidth="1"/>
    <col min="15121" max="15139" width="0" style="34" hidden="1" customWidth="1"/>
    <col min="15140" max="15140" width="8.33203125" style="34" customWidth="1"/>
    <col min="15141" max="15141" width="11.83203125" style="34" customWidth="1"/>
    <col min="15142" max="15142" width="11.5" style="34" customWidth="1"/>
    <col min="15143" max="15143" width="0" style="34" hidden="1" customWidth="1"/>
    <col min="15144" max="15360" width="8.83203125" style="34"/>
    <col min="15361" max="15367" width="0" style="34" hidden="1" customWidth="1"/>
    <col min="15368" max="15368" width="18.1640625" style="34" customWidth="1"/>
    <col min="15369" max="15369" width="0" style="34" hidden="1" customWidth="1"/>
    <col min="15370" max="15370" width="17.33203125" style="34" customWidth="1"/>
    <col min="15371" max="15374" width="0" style="34" hidden="1" customWidth="1"/>
    <col min="15375" max="15375" width="14.6640625" style="34" customWidth="1"/>
    <col min="15376" max="15376" width="7.33203125" style="34" customWidth="1"/>
    <col min="15377" max="15395" width="0" style="34" hidden="1" customWidth="1"/>
    <col min="15396" max="15396" width="8.33203125" style="34" customWidth="1"/>
    <col min="15397" max="15397" width="11.83203125" style="34" customWidth="1"/>
    <col min="15398" max="15398" width="11.5" style="34" customWidth="1"/>
    <col min="15399" max="15399" width="0" style="34" hidden="1" customWidth="1"/>
    <col min="15400" max="15616" width="8.83203125" style="34"/>
    <col min="15617" max="15623" width="0" style="34" hidden="1" customWidth="1"/>
    <col min="15624" max="15624" width="18.1640625" style="34" customWidth="1"/>
    <col min="15625" max="15625" width="0" style="34" hidden="1" customWidth="1"/>
    <col min="15626" max="15626" width="17.33203125" style="34" customWidth="1"/>
    <col min="15627" max="15630" width="0" style="34" hidden="1" customWidth="1"/>
    <col min="15631" max="15631" width="14.6640625" style="34" customWidth="1"/>
    <col min="15632" max="15632" width="7.33203125" style="34" customWidth="1"/>
    <col min="15633" max="15651" width="0" style="34" hidden="1" customWidth="1"/>
    <col min="15652" max="15652" width="8.33203125" style="34" customWidth="1"/>
    <col min="15653" max="15653" width="11.83203125" style="34" customWidth="1"/>
    <col min="15654" max="15654" width="11.5" style="34" customWidth="1"/>
    <col min="15655" max="15655" width="0" style="34" hidden="1" customWidth="1"/>
    <col min="15656" max="15872" width="8.83203125" style="34"/>
    <col min="15873" max="15879" width="0" style="34" hidden="1" customWidth="1"/>
    <col min="15880" max="15880" width="18.1640625" style="34" customWidth="1"/>
    <col min="15881" max="15881" width="0" style="34" hidden="1" customWidth="1"/>
    <col min="15882" max="15882" width="17.33203125" style="34" customWidth="1"/>
    <col min="15883" max="15886" width="0" style="34" hidden="1" customWidth="1"/>
    <col min="15887" max="15887" width="14.6640625" style="34" customWidth="1"/>
    <col min="15888" max="15888" width="7.33203125" style="34" customWidth="1"/>
    <col min="15889" max="15907" width="0" style="34" hidden="1" customWidth="1"/>
    <col min="15908" max="15908" width="8.33203125" style="34" customWidth="1"/>
    <col min="15909" max="15909" width="11.83203125" style="34" customWidth="1"/>
    <col min="15910" max="15910" width="11.5" style="34" customWidth="1"/>
    <col min="15911" max="15911" width="0" style="34" hidden="1" customWidth="1"/>
    <col min="15912" max="16128" width="8.83203125" style="34"/>
    <col min="16129" max="16135" width="0" style="34" hidden="1" customWidth="1"/>
    <col min="16136" max="16136" width="18.1640625" style="34" customWidth="1"/>
    <col min="16137" max="16137" width="0" style="34" hidden="1" customWidth="1"/>
    <col min="16138" max="16138" width="17.33203125" style="34" customWidth="1"/>
    <col min="16139" max="16142" width="0" style="34" hidden="1" customWidth="1"/>
    <col min="16143" max="16143" width="14.6640625" style="34" customWidth="1"/>
    <col min="16144" max="16144" width="7.33203125" style="34" customWidth="1"/>
    <col min="16145" max="16163" width="0" style="34" hidden="1" customWidth="1"/>
    <col min="16164" max="16164" width="8.33203125" style="34" customWidth="1"/>
    <col min="16165" max="16165" width="11.83203125" style="34" customWidth="1"/>
    <col min="16166" max="16166" width="11.5" style="34" customWidth="1"/>
    <col min="16167" max="16167" width="0" style="34" hidden="1" customWidth="1"/>
    <col min="16168" max="16384" width="8.83203125" style="34"/>
  </cols>
  <sheetData>
    <row r="2" spans="1:38">
      <c r="A2" s="33" t="s">
        <v>1974</v>
      </c>
    </row>
    <row r="4" spans="1:38" ht="13.5" customHeight="1">
      <c r="A4" s="28" t="s">
        <v>1975</v>
      </c>
      <c r="B4" s="28" t="s">
        <v>1976</v>
      </c>
      <c r="C4" s="28" t="s">
        <v>1977</v>
      </c>
      <c r="D4" s="28" t="s">
        <v>225</v>
      </c>
      <c r="E4" s="28" t="s">
        <v>1978</v>
      </c>
      <c r="F4" s="29" t="s">
        <v>1979</v>
      </c>
      <c r="G4" s="29"/>
      <c r="H4" s="29" t="s">
        <v>1980</v>
      </c>
      <c r="I4" s="29" t="s">
        <v>1981</v>
      </c>
      <c r="J4" s="29" t="s">
        <v>1982</v>
      </c>
      <c r="K4" s="29" t="s">
        <v>1983</v>
      </c>
      <c r="L4" s="29" t="s">
        <v>1984</v>
      </c>
      <c r="M4" s="29" t="s">
        <v>1985</v>
      </c>
      <c r="N4" s="29" t="s">
        <v>1986</v>
      </c>
      <c r="O4" s="29" t="s">
        <v>1987</v>
      </c>
      <c r="P4" s="29" t="s">
        <v>1988</v>
      </c>
      <c r="Q4" s="29" t="s">
        <v>1989</v>
      </c>
      <c r="R4" s="29" t="s">
        <v>1990</v>
      </c>
      <c r="S4" s="29" t="s">
        <v>1991</v>
      </c>
      <c r="T4" s="29" t="s">
        <v>1992</v>
      </c>
      <c r="U4" s="29" t="s">
        <v>1993</v>
      </c>
      <c r="V4" s="29" t="s">
        <v>1994</v>
      </c>
      <c r="W4" s="29" t="s">
        <v>1995</v>
      </c>
      <c r="X4" s="29" t="s">
        <v>1996</v>
      </c>
      <c r="Y4" s="29" t="s">
        <v>1997</v>
      </c>
      <c r="Z4" s="29" t="s">
        <v>1998</v>
      </c>
      <c r="AA4" s="29" t="s">
        <v>1999</v>
      </c>
      <c r="AB4" s="29" t="s">
        <v>2000</v>
      </c>
      <c r="AC4" s="29" t="s">
        <v>2001</v>
      </c>
      <c r="AD4" s="29" t="s">
        <v>2002</v>
      </c>
      <c r="AE4" s="29" t="s">
        <v>2003</v>
      </c>
      <c r="AF4" s="29" t="s">
        <v>2004</v>
      </c>
      <c r="AG4" s="29" t="s">
        <v>2005</v>
      </c>
      <c r="AH4" s="29" t="s">
        <v>2006</v>
      </c>
      <c r="AI4" s="29" t="s">
        <v>2007</v>
      </c>
      <c r="AJ4" s="29" t="s">
        <v>2008</v>
      </c>
      <c r="AK4" s="29" t="s">
        <v>2009</v>
      </c>
      <c r="AL4" s="29" t="s">
        <v>2010</v>
      </c>
    </row>
    <row r="5" spans="1:38" ht="13.5" hidden="1" customHeight="1">
      <c r="A5" s="30" t="s">
        <v>1978</v>
      </c>
      <c r="B5" s="30" t="s">
        <v>2011</v>
      </c>
      <c r="C5" s="30" t="s">
        <v>235</v>
      </c>
      <c r="D5" s="30" t="s">
        <v>2012</v>
      </c>
      <c r="E5" s="30" t="s">
        <v>2013</v>
      </c>
      <c r="F5" s="31" t="s">
        <v>2014</v>
      </c>
      <c r="G5" s="30"/>
      <c r="H5" s="30" t="s">
        <v>2015</v>
      </c>
      <c r="I5" s="30" t="s">
        <v>2015</v>
      </c>
      <c r="J5" s="30" t="s">
        <v>2015</v>
      </c>
      <c r="K5" s="30" t="s">
        <v>2016</v>
      </c>
      <c r="L5" s="30" t="s">
        <v>2017</v>
      </c>
      <c r="M5" s="30" t="s">
        <v>2018</v>
      </c>
      <c r="N5" s="30" t="s">
        <v>2016</v>
      </c>
      <c r="O5" s="30" t="s">
        <v>2019</v>
      </c>
      <c r="P5" s="32">
        <v>44900</v>
      </c>
      <c r="Q5" s="32">
        <v>18882</v>
      </c>
      <c r="R5" s="32">
        <v>3971</v>
      </c>
      <c r="S5" s="32">
        <v>1685</v>
      </c>
      <c r="T5" s="32">
        <v>650</v>
      </c>
      <c r="U5" s="32">
        <v>2518</v>
      </c>
      <c r="V5" s="32">
        <v>1592</v>
      </c>
      <c r="W5" s="32">
        <v>813</v>
      </c>
      <c r="X5" s="32">
        <v>6489</v>
      </c>
      <c r="Y5" s="32">
        <v>3277</v>
      </c>
      <c r="Z5" s="32">
        <v>1463</v>
      </c>
      <c r="AA5" s="32">
        <v>12205</v>
      </c>
      <c r="AB5" s="32">
        <v>5170</v>
      </c>
      <c r="AC5" s="32">
        <v>1984</v>
      </c>
      <c r="AD5" s="32">
        <v>3221</v>
      </c>
      <c r="AE5" s="32">
        <v>2028</v>
      </c>
      <c r="AF5" s="32">
        <v>1023</v>
      </c>
      <c r="AG5" s="32">
        <v>15426</v>
      </c>
      <c r="AH5" s="32">
        <v>7198</v>
      </c>
      <c r="AI5" s="32">
        <v>3007</v>
      </c>
      <c r="AJ5" s="32">
        <v>15426</v>
      </c>
      <c r="AK5" s="32">
        <v>44691</v>
      </c>
      <c r="AL5" s="32">
        <v>34.5</v>
      </c>
    </row>
    <row r="6" spans="1:38" ht="13.5" hidden="1" customHeight="1">
      <c r="A6" s="30" t="s">
        <v>1978</v>
      </c>
      <c r="B6" s="30" t="s">
        <v>2011</v>
      </c>
      <c r="C6" s="30" t="s">
        <v>235</v>
      </c>
      <c r="D6" s="30" t="s">
        <v>2012</v>
      </c>
      <c r="E6" s="30" t="s">
        <v>2020</v>
      </c>
      <c r="F6" s="31" t="s">
        <v>2021</v>
      </c>
      <c r="G6" s="30"/>
      <c r="H6" s="30" t="s">
        <v>2015</v>
      </c>
      <c r="I6" s="30" t="s">
        <v>2015</v>
      </c>
      <c r="J6" s="30" t="s">
        <v>2015</v>
      </c>
      <c r="K6" s="30" t="s">
        <v>2018</v>
      </c>
      <c r="L6" s="30" t="s">
        <v>2017</v>
      </c>
      <c r="M6" s="30" t="s">
        <v>2018</v>
      </c>
      <c r="N6" s="30" t="s">
        <v>2018</v>
      </c>
      <c r="O6" s="30" t="s">
        <v>2015</v>
      </c>
      <c r="P6" s="32">
        <v>73938</v>
      </c>
      <c r="Q6" s="32">
        <v>38719</v>
      </c>
      <c r="R6" s="32">
        <v>8533</v>
      </c>
      <c r="S6" s="32">
        <v>4439</v>
      </c>
      <c r="T6" s="32">
        <v>1880</v>
      </c>
      <c r="U6" s="32">
        <v>7348</v>
      </c>
      <c r="V6" s="32">
        <v>5466</v>
      </c>
      <c r="W6" s="32">
        <v>3484</v>
      </c>
      <c r="X6" s="32">
        <v>15881</v>
      </c>
      <c r="Y6" s="32">
        <v>9905</v>
      </c>
      <c r="Z6" s="32">
        <v>5364</v>
      </c>
      <c r="AA6" s="32">
        <v>25175</v>
      </c>
      <c r="AB6" s="32">
        <v>13126</v>
      </c>
      <c r="AC6" s="32">
        <v>5573</v>
      </c>
      <c r="AD6" s="32">
        <v>8553</v>
      </c>
      <c r="AE6" s="32">
        <v>6342</v>
      </c>
      <c r="AF6" s="32">
        <v>4032</v>
      </c>
      <c r="AG6" s="32">
        <v>33728</v>
      </c>
      <c r="AH6" s="32">
        <v>19468</v>
      </c>
      <c r="AI6" s="32">
        <v>9605</v>
      </c>
      <c r="AJ6" s="32">
        <v>33728</v>
      </c>
      <c r="AK6" s="32">
        <v>71618</v>
      </c>
      <c r="AL6" s="32">
        <v>47.1</v>
      </c>
    </row>
    <row r="7" spans="1:38" ht="13.5" hidden="1" customHeight="1">
      <c r="A7" s="30" t="s">
        <v>1978</v>
      </c>
      <c r="B7" s="30" t="s">
        <v>2011</v>
      </c>
      <c r="C7" s="30" t="s">
        <v>235</v>
      </c>
      <c r="D7" s="30" t="s">
        <v>2012</v>
      </c>
      <c r="E7" s="30" t="s">
        <v>2022</v>
      </c>
      <c r="F7" s="31" t="s">
        <v>2023</v>
      </c>
      <c r="G7" s="30"/>
      <c r="H7" s="30" t="s">
        <v>2015</v>
      </c>
      <c r="I7" s="30" t="s">
        <v>2015</v>
      </c>
      <c r="J7" s="30" t="s">
        <v>2015</v>
      </c>
      <c r="K7" s="30" t="s">
        <v>2018</v>
      </c>
      <c r="L7" s="30" t="s">
        <v>2017</v>
      </c>
      <c r="M7" s="30" t="s">
        <v>2018</v>
      </c>
      <c r="N7" s="30" t="s">
        <v>2018</v>
      </c>
      <c r="O7" s="30" t="s">
        <v>2015</v>
      </c>
      <c r="P7" s="32">
        <v>201363</v>
      </c>
      <c r="Q7" s="32">
        <v>90738</v>
      </c>
      <c r="R7" s="32">
        <v>16881</v>
      </c>
      <c r="S7" s="32">
        <v>7248</v>
      </c>
      <c r="T7" s="32">
        <v>2842</v>
      </c>
      <c r="U7" s="32">
        <v>14276</v>
      </c>
      <c r="V7" s="32">
        <v>9186</v>
      </c>
      <c r="W7" s="32">
        <v>4831</v>
      </c>
      <c r="X7" s="32">
        <v>31157</v>
      </c>
      <c r="Y7" s="32">
        <v>16434</v>
      </c>
      <c r="Z7" s="32">
        <v>7673</v>
      </c>
      <c r="AA7" s="32">
        <v>51210</v>
      </c>
      <c r="AB7" s="32">
        <v>21902</v>
      </c>
      <c r="AC7" s="32">
        <v>8579</v>
      </c>
      <c r="AD7" s="32">
        <v>17704</v>
      </c>
      <c r="AE7" s="32">
        <v>11308</v>
      </c>
      <c r="AF7" s="32">
        <v>5908</v>
      </c>
      <c r="AG7" s="32">
        <v>68914</v>
      </c>
      <c r="AH7" s="32">
        <v>33210</v>
      </c>
      <c r="AI7" s="32">
        <v>14487</v>
      </c>
      <c r="AJ7" s="32">
        <v>68914</v>
      </c>
      <c r="AK7" s="32">
        <v>195153</v>
      </c>
      <c r="AL7" s="32">
        <v>35.299999999999997</v>
      </c>
    </row>
    <row r="8" spans="1:38" ht="13.5" hidden="1" customHeight="1">
      <c r="A8" s="30" t="s">
        <v>1978</v>
      </c>
      <c r="B8" s="30" t="s">
        <v>2011</v>
      </c>
      <c r="C8" s="30" t="s">
        <v>235</v>
      </c>
      <c r="D8" s="30" t="s">
        <v>2012</v>
      </c>
      <c r="E8" s="30" t="s">
        <v>2024</v>
      </c>
      <c r="F8" s="31" t="s">
        <v>2025</v>
      </c>
      <c r="G8" s="30"/>
      <c r="H8" s="30" t="s">
        <v>2015</v>
      </c>
      <c r="I8" s="30" t="s">
        <v>2015</v>
      </c>
      <c r="J8" s="30" t="s">
        <v>2015</v>
      </c>
      <c r="K8" s="30" t="s">
        <v>2018</v>
      </c>
      <c r="L8" s="30" t="s">
        <v>2017</v>
      </c>
      <c r="M8" s="30" t="s">
        <v>2018</v>
      </c>
      <c r="N8" s="30" t="s">
        <v>2018</v>
      </c>
      <c r="O8" s="30" t="s">
        <v>2015</v>
      </c>
      <c r="P8" s="32">
        <v>29467</v>
      </c>
      <c r="Q8" s="32">
        <v>19159</v>
      </c>
      <c r="R8" s="32">
        <v>3081</v>
      </c>
      <c r="S8" s="32">
        <v>1562</v>
      </c>
      <c r="T8" s="32">
        <v>720</v>
      </c>
      <c r="U8" s="32">
        <v>2678</v>
      </c>
      <c r="V8" s="32">
        <v>1828</v>
      </c>
      <c r="W8" s="32">
        <v>944</v>
      </c>
      <c r="X8" s="32">
        <v>5759</v>
      </c>
      <c r="Y8" s="32">
        <v>3390</v>
      </c>
      <c r="Z8" s="32">
        <v>1664</v>
      </c>
      <c r="AA8" s="32">
        <v>9194</v>
      </c>
      <c r="AB8" s="32">
        <v>4624</v>
      </c>
      <c r="AC8" s="32">
        <v>2097</v>
      </c>
      <c r="AD8" s="32">
        <v>3450</v>
      </c>
      <c r="AE8" s="32">
        <v>2349</v>
      </c>
      <c r="AF8" s="32">
        <v>1214</v>
      </c>
      <c r="AG8" s="32">
        <v>12644</v>
      </c>
      <c r="AH8" s="32">
        <v>6973</v>
      </c>
      <c r="AI8" s="32">
        <v>3311</v>
      </c>
      <c r="AJ8" s="32">
        <v>12644</v>
      </c>
      <c r="AK8" s="32">
        <v>28333</v>
      </c>
      <c r="AL8" s="32">
        <v>44.6</v>
      </c>
    </row>
    <row r="9" spans="1:38" ht="13.5" hidden="1" customHeight="1">
      <c r="A9" s="30" t="s">
        <v>1978</v>
      </c>
      <c r="B9" s="30" t="s">
        <v>2011</v>
      </c>
      <c r="C9" s="30" t="s">
        <v>235</v>
      </c>
      <c r="D9" s="30" t="s">
        <v>2012</v>
      </c>
      <c r="E9" s="30" t="s">
        <v>2026</v>
      </c>
      <c r="F9" s="31" t="s">
        <v>2027</v>
      </c>
      <c r="G9" s="30"/>
      <c r="H9" s="30" t="s">
        <v>2015</v>
      </c>
      <c r="I9" s="30" t="s">
        <v>2015</v>
      </c>
      <c r="J9" s="30" t="s">
        <v>2015</v>
      </c>
      <c r="K9" s="30" t="s">
        <v>2018</v>
      </c>
      <c r="L9" s="30" t="s">
        <v>2017</v>
      </c>
      <c r="M9" s="30" t="s">
        <v>2018</v>
      </c>
      <c r="N9" s="30" t="s">
        <v>2018</v>
      </c>
      <c r="O9" s="30" t="s">
        <v>2015</v>
      </c>
      <c r="P9" s="32">
        <v>51791</v>
      </c>
      <c r="Q9" s="32">
        <v>33945</v>
      </c>
      <c r="R9" s="32">
        <v>4579</v>
      </c>
      <c r="S9" s="32">
        <v>2100</v>
      </c>
      <c r="T9" s="32">
        <v>926</v>
      </c>
      <c r="U9" s="32">
        <v>4744</v>
      </c>
      <c r="V9" s="32">
        <v>3130</v>
      </c>
      <c r="W9" s="32">
        <v>1689</v>
      </c>
      <c r="X9" s="32">
        <v>9323</v>
      </c>
      <c r="Y9" s="32">
        <v>5230</v>
      </c>
      <c r="Z9" s="32">
        <v>2615</v>
      </c>
      <c r="AA9" s="32">
        <v>13205</v>
      </c>
      <c r="AB9" s="32">
        <v>6039</v>
      </c>
      <c r="AC9" s="32">
        <v>2660</v>
      </c>
      <c r="AD9" s="32">
        <v>5879</v>
      </c>
      <c r="AE9" s="32">
        <v>3880</v>
      </c>
      <c r="AF9" s="32">
        <v>2085</v>
      </c>
      <c r="AG9" s="32">
        <v>19084</v>
      </c>
      <c r="AH9" s="32">
        <v>9919</v>
      </c>
      <c r="AI9" s="32">
        <v>4745</v>
      </c>
      <c r="AJ9" s="32">
        <v>19084</v>
      </c>
      <c r="AK9" s="32">
        <v>50487</v>
      </c>
      <c r="AL9" s="32">
        <v>37.799999999999997</v>
      </c>
    </row>
    <row r="10" spans="1:38" ht="13.5" hidden="1" customHeight="1">
      <c r="A10" s="30" t="s">
        <v>1978</v>
      </c>
      <c r="B10" s="30" t="s">
        <v>2011</v>
      </c>
      <c r="C10" s="30" t="s">
        <v>235</v>
      </c>
      <c r="D10" s="30" t="s">
        <v>2012</v>
      </c>
      <c r="E10" s="30" t="s">
        <v>2028</v>
      </c>
      <c r="F10" s="31" t="s">
        <v>2029</v>
      </c>
      <c r="G10" s="30"/>
      <c r="H10" s="30" t="s">
        <v>2015</v>
      </c>
      <c r="I10" s="30" t="s">
        <v>2015</v>
      </c>
      <c r="J10" s="30" t="s">
        <v>2015</v>
      </c>
      <c r="K10" s="30" t="s">
        <v>2018</v>
      </c>
      <c r="L10" s="30" t="s">
        <v>2017</v>
      </c>
      <c r="M10" s="30" t="s">
        <v>2018</v>
      </c>
      <c r="N10" s="30" t="s">
        <v>2018</v>
      </c>
      <c r="O10" s="30" t="s">
        <v>2015</v>
      </c>
      <c r="P10" s="32">
        <v>117114</v>
      </c>
      <c r="Q10" s="32">
        <v>56364</v>
      </c>
      <c r="R10" s="32">
        <v>10715</v>
      </c>
      <c r="S10" s="32">
        <v>5325</v>
      </c>
      <c r="T10" s="32">
        <v>2481</v>
      </c>
      <c r="U10" s="32">
        <v>10141</v>
      </c>
      <c r="V10" s="32">
        <v>6896</v>
      </c>
      <c r="W10" s="32">
        <v>3830</v>
      </c>
      <c r="X10" s="32">
        <v>20856</v>
      </c>
      <c r="Y10" s="32">
        <v>12221</v>
      </c>
      <c r="Z10" s="32">
        <v>6311</v>
      </c>
      <c r="AA10" s="32">
        <v>31970</v>
      </c>
      <c r="AB10" s="32">
        <v>15928</v>
      </c>
      <c r="AC10" s="32">
        <v>7431</v>
      </c>
      <c r="AD10" s="32">
        <v>12371</v>
      </c>
      <c r="AE10" s="32">
        <v>8370</v>
      </c>
      <c r="AF10" s="32">
        <v>4621</v>
      </c>
      <c r="AG10" s="32">
        <v>44341</v>
      </c>
      <c r="AH10" s="32">
        <v>24298</v>
      </c>
      <c r="AI10" s="32">
        <v>12052</v>
      </c>
      <c r="AJ10" s="32">
        <v>44341</v>
      </c>
      <c r="AK10" s="32">
        <v>113423</v>
      </c>
      <c r="AL10" s="32">
        <v>39.1</v>
      </c>
    </row>
    <row r="11" spans="1:38" ht="13.5" hidden="1" customHeight="1">
      <c r="A11" s="30" t="s">
        <v>1978</v>
      </c>
      <c r="B11" s="30" t="s">
        <v>2011</v>
      </c>
      <c r="C11" s="30" t="s">
        <v>235</v>
      </c>
      <c r="D11" s="30" t="s">
        <v>2012</v>
      </c>
      <c r="E11" s="30" t="s">
        <v>2030</v>
      </c>
      <c r="F11" s="31" t="s">
        <v>2031</v>
      </c>
      <c r="G11" s="30"/>
      <c r="H11" s="30" t="s">
        <v>2015</v>
      </c>
      <c r="I11" s="30" t="s">
        <v>2015</v>
      </c>
      <c r="J11" s="30" t="s">
        <v>2015</v>
      </c>
      <c r="K11" s="30" t="s">
        <v>2018</v>
      </c>
      <c r="L11" s="30" t="s">
        <v>2017</v>
      </c>
      <c r="M11" s="30" t="s">
        <v>2018</v>
      </c>
      <c r="N11" s="30" t="s">
        <v>2018</v>
      </c>
      <c r="O11" s="30" t="s">
        <v>2015</v>
      </c>
      <c r="P11" s="32">
        <v>39618</v>
      </c>
      <c r="Q11" s="32">
        <v>21612</v>
      </c>
      <c r="R11" s="32">
        <v>3495</v>
      </c>
      <c r="S11" s="32">
        <v>1573</v>
      </c>
      <c r="T11" s="32">
        <v>641</v>
      </c>
      <c r="U11" s="32">
        <v>3425</v>
      </c>
      <c r="V11" s="32">
        <v>2326</v>
      </c>
      <c r="W11" s="32">
        <v>1284</v>
      </c>
      <c r="X11" s="32">
        <v>6920</v>
      </c>
      <c r="Y11" s="32">
        <v>3899</v>
      </c>
      <c r="Z11" s="32">
        <v>1925</v>
      </c>
      <c r="AA11" s="32">
        <v>10228</v>
      </c>
      <c r="AB11" s="32">
        <v>4590</v>
      </c>
      <c r="AC11" s="32">
        <v>1879</v>
      </c>
      <c r="AD11" s="32">
        <v>4160</v>
      </c>
      <c r="AE11" s="32">
        <v>2813</v>
      </c>
      <c r="AF11" s="32">
        <v>1549</v>
      </c>
      <c r="AG11" s="32">
        <v>14388</v>
      </c>
      <c r="AH11" s="32">
        <v>7403</v>
      </c>
      <c r="AI11" s="32">
        <v>3428</v>
      </c>
      <c r="AJ11" s="32">
        <v>14388</v>
      </c>
      <c r="AK11" s="32">
        <v>38356</v>
      </c>
      <c r="AL11" s="32">
        <v>37.5</v>
      </c>
    </row>
    <row r="12" spans="1:38" ht="13.5" hidden="1" customHeight="1">
      <c r="A12" s="30" t="s">
        <v>1978</v>
      </c>
      <c r="B12" s="30" t="s">
        <v>2011</v>
      </c>
      <c r="C12" s="30" t="s">
        <v>235</v>
      </c>
      <c r="D12" s="30" t="s">
        <v>2012</v>
      </c>
      <c r="E12" s="30" t="s">
        <v>2032</v>
      </c>
      <c r="F12" s="31" t="s">
        <v>2033</v>
      </c>
      <c r="G12" s="30"/>
      <c r="H12" s="30" t="s">
        <v>2015</v>
      </c>
      <c r="I12" s="30" t="s">
        <v>2015</v>
      </c>
      <c r="J12" s="30" t="s">
        <v>2015</v>
      </c>
      <c r="K12" s="30" t="s">
        <v>2018</v>
      </c>
      <c r="L12" s="30" t="s">
        <v>2017</v>
      </c>
      <c r="M12" s="30" t="s">
        <v>2018</v>
      </c>
      <c r="N12" s="30" t="s">
        <v>2018</v>
      </c>
      <c r="O12" s="30" t="s">
        <v>2015</v>
      </c>
      <c r="P12" s="32">
        <v>33616</v>
      </c>
      <c r="Q12" s="32">
        <v>20849</v>
      </c>
      <c r="R12" s="32">
        <v>3180</v>
      </c>
      <c r="S12" s="32">
        <v>1456</v>
      </c>
      <c r="T12" s="32">
        <v>609</v>
      </c>
      <c r="U12" s="32">
        <v>2832</v>
      </c>
      <c r="V12" s="32">
        <v>1737</v>
      </c>
      <c r="W12" s="32">
        <v>930</v>
      </c>
      <c r="X12" s="32">
        <v>6012</v>
      </c>
      <c r="Y12" s="32">
        <v>3193</v>
      </c>
      <c r="Z12" s="32">
        <v>1539</v>
      </c>
      <c r="AA12" s="32">
        <v>9236</v>
      </c>
      <c r="AB12" s="32">
        <v>4247</v>
      </c>
      <c r="AC12" s="32">
        <v>1771</v>
      </c>
      <c r="AD12" s="32">
        <v>3406</v>
      </c>
      <c r="AE12" s="32">
        <v>2084</v>
      </c>
      <c r="AF12" s="32">
        <v>1114</v>
      </c>
      <c r="AG12" s="32">
        <v>12642</v>
      </c>
      <c r="AH12" s="32">
        <v>6331</v>
      </c>
      <c r="AI12" s="32">
        <v>2885</v>
      </c>
      <c r="AJ12" s="32">
        <v>12642</v>
      </c>
      <c r="AK12" s="32">
        <v>33226</v>
      </c>
      <c r="AL12" s="32">
        <v>38</v>
      </c>
    </row>
    <row r="13" spans="1:38" ht="13.5" hidden="1" customHeight="1">
      <c r="A13" s="30" t="s">
        <v>1978</v>
      </c>
      <c r="B13" s="30" t="s">
        <v>2011</v>
      </c>
      <c r="C13" s="30" t="s">
        <v>235</v>
      </c>
      <c r="D13" s="30" t="s">
        <v>2012</v>
      </c>
      <c r="E13" s="30" t="s">
        <v>2034</v>
      </c>
      <c r="F13" s="31" t="s">
        <v>2035</v>
      </c>
      <c r="G13" s="30"/>
      <c r="H13" s="30" t="s">
        <v>2015</v>
      </c>
      <c r="I13" s="30" t="s">
        <v>2015</v>
      </c>
      <c r="J13" s="30" t="s">
        <v>2015</v>
      </c>
      <c r="K13" s="30" t="s">
        <v>2018</v>
      </c>
      <c r="L13" s="30" t="s">
        <v>2017</v>
      </c>
      <c r="M13" s="30" t="s">
        <v>2018</v>
      </c>
      <c r="N13" s="30" t="s">
        <v>2018</v>
      </c>
      <c r="O13" s="30" t="s">
        <v>2015</v>
      </c>
      <c r="P13" s="32">
        <v>54755</v>
      </c>
      <c r="Q13" s="32">
        <v>32295</v>
      </c>
      <c r="R13" s="32">
        <v>5525</v>
      </c>
      <c r="S13" s="32">
        <v>2669</v>
      </c>
      <c r="T13" s="32">
        <v>1085</v>
      </c>
      <c r="U13" s="32">
        <v>4527</v>
      </c>
      <c r="V13" s="32">
        <v>3063</v>
      </c>
      <c r="W13" s="32">
        <v>1687</v>
      </c>
      <c r="X13" s="32">
        <v>10052</v>
      </c>
      <c r="Y13" s="32">
        <v>5732</v>
      </c>
      <c r="Z13" s="32">
        <v>2772</v>
      </c>
      <c r="AA13" s="32">
        <v>16333</v>
      </c>
      <c r="AB13" s="32">
        <v>7877</v>
      </c>
      <c r="AC13" s="32">
        <v>3200</v>
      </c>
      <c r="AD13" s="32">
        <v>5599</v>
      </c>
      <c r="AE13" s="32">
        <v>3774</v>
      </c>
      <c r="AF13" s="32">
        <v>2072</v>
      </c>
      <c r="AG13" s="32">
        <v>21932</v>
      </c>
      <c r="AH13" s="32">
        <v>11651</v>
      </c>
      <c r="AI13" s="32">
        <v>5272</v>
      </c>
      <c r="AJ13" s="32">
        <v>21932</v>
      </c>
      <c r="AK13" s="32">
        <v>53941</v>
      </c>
      <c r="AL13" s="32">
        <v>40.700000000000003</v>
      </c>
    </row>
    <row r="14" spans="1:38" ht="13.5" hidden="1" customHeight="1">
      <c r="A14" s="30" t="s">
        <v>1978</v>
      </c>
      <c r="B14" s="30" t="s">
        <v>2011</v>
      </c>
      <c r="C14" s="30" t="s">
        <v>235</v>
      </c>
      <c r="D14" s="30" t="s">
        <v>2012</v>
      </c>
      <c r="E14" s="30" t="s">
        <v>2036</v>
      </c>
      <c r="F14" s="31" t="s">
        <v>2037</v>
      </c>
      <c r="G14" s="30"/>
      <c r="H14" s="30" t="s">
        <v>2015</v>
      </c>
      <c r="I14" s="30" t="s">
        <v>2015</v>
      </c>
      <c r="J14" s="30" t="s">
        <v>2015</v>
      </c>
      <c r="K14" s="30" t="s">
        <v>2038</v>
      </c>
      <c r="L14" s="30" t="s">
        <v>2017</v>
      </c>
      <c r="M14" s="30" t="s">
        <v>2018</v>
      </c>
      <c r="N14" s="30" t="s">
        <v>2038</v>
      </c>
      <c r="O14" s="30" t="s">
        <v>2039</v>
      </c>
      <c r="P14" s="32">
        <v>113446</v>
      </c>
      <c r="Q14" s="32">
        <v>52260</v>
      </c>
      <c r="R14" s="32">
        <v>11004</v>
      </c>
      <c r="S14" s="32">
        <v>5909</v>
      </c>
      <c r="T14" s="32">
        <v>2774</v>
      </c>
      <c r="U14" s="32">
        <v>8882</v>
      </c>
      <c r="V14" s="32">
        <v>6230</v>
      </c>
      <c r="W14" s="32">
        <v>3583</v>
      </c>
      <c r="X14" s="32">
        <v>19886</v>
      </c>
      <c r="Y14" s="32">
        <v>12139</v>
      </c>
      <c r="Z14" s="32">
        <v>6357</v>
      </c>
      <c r="AA14" s="32">
        <v>32687</v>
      </c>
      <c r="AB14" s="32">
        <v>17563</v>
      </c>
      <c r="AC14" s="32">
        <v>8245</v>
      </c>
      <c r="AD14" s="32">
        <v>11604</v>
      </c>
      <c r="AE14" s="32">
        <v>8106</v>
      </c>
      <c r="AF14" s="32">
        <v>4652</v>
      </c>
      <c r="AG14" s="32">
        <v>44291</v>
      </c>
      <c r="AH14" s="32">
        <v>25669</v>
      </c>
      <c r="AI14" s="32">
        <v>12897</v>
      </c>
      <c r="AJ14" s="32">
        <v>44291</v>
      </c>
      <c r="AK14" s="32">
        <v>109347</v>
      </c>
      <c r="AL14" s="32">
        <v>40.5</v>
      </c>
    </row>
    <row r="15" spans="1:38" ht="13.5" hidden="1" customHeight="1">
      <c r="A15" s="30" t="s">
        <v>1978</v>
      </c>
      <c r="B15" s="30" t="s">
        <v>2011</v>
      </c>
      <c r="C15" s="30" t="s">
        <v>235</v>
      </c>
      <c r="D15" s="30" t="s">
        <v>2012</v>
      </c>
      <c r="E15" s="30" t="s">
        <v>2040</v>
      </c>
      <c r="F15" s="31" t="s">
        <v>2041</v>
      </c>
      <c r="G15" s="30"/>
      <c r="H15" s="30" t="s">
        <v>2015</v>
      </c>
      <c r="I15" s="30" t="s">
        <v>2015</v>
      </c>
      <c r="J15" s="30" t="s">
        <v>2015</v>
      </c>
      <c r="K15" s="30" t="s">
        <v>2018</v>
      </c>
      <c r="L15" s="30" t="s">
        <v>2017</v>
      </c>
      <c r="M15" s="30" t="s">
        <v>2018</v>
      </c>
      <c r="N15" s="30" t="s">
        <v>2018</v>
      </c>
      <c r="O15" s="30" t="s">
        <v>2015</v>
      </c>
      <c r="P15" s="32">
        <v>17235</v>
      </c>
      <c r="Q15" s="32">
        <v>13783</v>
      </c>
      <c r="R15" s="32">
        <v>2122</v>
      </c>
      <c r="S15" s="32">
        <v>1121</v>
      </c>
      <c r="T15" s="32">
        <v>467</v>
      </c>
      <c r="U15" s="32">
        <v>1798</v>
      </c>
      <c r="V15" s="32">
        <v>1322</v>
      </c>
      <c r="W15" s="32">
        <v>759</v>
      </c>
      <c r="X15" s="32">
        <v>3920</v>
      </c>
      <c r="Y15" s="32">
        <v>2443</v>
      </c>
      <c r="Z15" s="32">
        <v>1226</v>
      </c>
      <c r="AA15" s="32">
        <v>6199</v>
      </c>
      <c r="AB15" s="32">
        <v>3273</v>
      </c>
      <c r="AC15" s="32">
        <v>1370</v>
      </c>
      <c r="AD15" s="32">
        <v>2102</v>
      </c>
      <c r="AE15" s="32">
        <v>1541</v>
      </c>
      <c r="AF15" s="32">
        <v>886</v>
      </c>
      <c r="AG15" s="32">
        <v>8301</v>
      </c>
      <c r="AH15" s="32">
        <v>4814</v>
      </c>
      <c r="AI15" s="32">
        <v>2256</v>
      </c>
      <c r="AJ15" s="32">
        <v>8301</v>
      </c>
      <c r="AK15" s="32">
        <v>17052</v>
      </c>
      <c r="AL15" s="32">
        <v>48.7</v>
      </c>
    </row>
    <row r="16" spans="1:38" ht="13.5" hidden="1" customHeight="1">
      <c r="A16" s="30" t="s">
        <v>1978</v>
      </c>
      <c r="B16" s="30" t="s">
        <v>2011</v>
      </c>
      <c r="C16" s="30" t="s">
        <v>235</v>
      </c>
      <c r="D16" s="30" t="s">
        <v>2012</v>
      </c>
      <c r="E16" s="30" t="s">
        <v>2042</v>
      </c>
      <c r="F16" s="31" t="s">
        <v>2043</v>
      </c>
      <c r="G16" s="30"/>
      <c r="H16" s="30" t="s">
        <v>2015</v>
      </c>
      <c r="I16" s="30" t="s">
        <v>2015</v>
      </c>
      <c r="J16" s="30" t="s">
        <v>2015</v>
      </c>
      <c r="K16" s="30" t="s">
        <v>2018</v>
      </c>
      <c r="L16" s="30" t="s">
        <v>2017</v>
      </c>
      <c r="M16" s="30" t="s">
        <v>2018</v>
      </c>
      <c r="N16" s="30" t="s">
        <v>2018</v>
      </c>
      <c r="O16" s="30" t="s">
        <v>2015</v>
      </c>
      <c r="P16" s="32">
        <v>35214</v>
      </c>
      <c r="Q16" s="32">
        <v>16489</v>
      </c>
      <c r="R16" s="32">
        <v>3297</v>
      </c>
      <c r="S16" s="32">
        <v>1491</v>
      </c>
      <c r="T16" s="32">
        <v>777</v>
      </c>
      <c r="U16" s="32">
        <v>2623</v>
      </c>
      <c r="V16" s="32">
        <v>1695</v>
      </c>
      <c r="W16" s="32">
        <v>870</v>
      </c>
      <c r="X16" s="32">
        <v>5920</v>
      </c>
      <c r="Y16" s="32">
        <v>3186</v>
      </c>
      <c r="Z16" s="32">
        <v>1647</v>
      </c>
      <c r="AA16" s="32">
        <v>10131</v>
      </c>
      <c r="AB16" s="32">
        <v>4568</v>
      </c>
      <c r="AC16" s="32">
        <v>2378</v>
      </c>
      <c r="AD16" s="32">
        <v>3162</v>
      </c>
      <c r="AE16" s="32">
        <v>2021</v>
      </c>
      <c r="AF16" s="32">
        <v>1035</v>
      </c>
      <c r="AG16" s="32">
        <v>13293</v>
      </c>
      <c r="AH16" s="32">
        <v>6589</v>
      </c>
      <c r="AI16" s="32">
        <v>3413</v>
      </c>
      <c r="AJ16" s="32">
        <v>13293</v>
      </c>
      <c r="AK16" s="32">
        <v>34919</v>
      </c>
      <c r="AL16" s="32">
        <v>38.1</v>
      </c>
    </row>
    <row r="17" spans="1:38" ht="13.5" hidden="1" customHeight="1">
      <c r="A17" s="30" t="s">
        <v>1978</v>
      </c>
      <c r="B17" s="30" t="s">
        <v>2011</v>
      </c>
      <c r="C17" s="30" t="s">
        <v>235</v>
      </c>
      <c r="D17" s="30" t="s">
        <v>2012</v>
      </c>
      <c r="E17" s="30" t="s">
        <v>2044</v>
      </c>
      <c r="F17" s="31" t="s">
        <v>2045</v>
      </c>
      <c r="G17" s="30"/>
      <c r="H17" s="30" t="s">
        <v>2015</v>
      </c>
      <c r="I17" s="30" t="s">
        <v>2015</v>
      </c>
      <c r="J17" s="30" t="s">
        <v>2015</v>
      </c>
      <c r="K17" s="30" t="s">
        <v>2018</v>
      </c>
      <c r="L17" s="30" t="s">
        <v>2017</v>
      </c>
      <c r="M17" s="30" t="s">
        <v>2018</v>
      </c>
      <c r="N17" s="30" t="s">
        <v>2018</v>
      </c>
      <c r="O17" s="30" t="s">
        <v>2015</v>
      </c>
      <c r="P17" s="32">
        <v>50888</v>
      </c>
      <c r="Q17" s="32">
        <v>28222</v>
      </c>
      <c r="R17" s="32">
        <v>5960</v>
      </c>
      <c r="S17" s="32">
        <v>2979</v>
      </c>
      <c r="T17" s="32">
        <v>1361</v>
      </c>
      <c r="U17" s="32">
        <v>4335</v>
      </c>
      <c r="V17" s="32">
        <v>3035</v>
      </c>
      <c r="W17" s="32">
        <v>1807</v>
      </c>
      <c r="X17" s="32">
        <v>10295</v>
      </c>
      <c r="Y17" s="32">
        <v>6014</v>
      </c>
      <c r="Z17" s="32">
        <v>3168</v>
      </c>
      <c r="AA17" s="32">
        <v>17757</v>
      </c>
      <c r="AB17" s="32">
        <v>8876</v>
      </c>
      <c r="AC17" s="32">
        <v>4063</v>
      </c>
      <c r="AD17" s="32">
        <v>5385</v>
      </c>
      <c r="AE17" s="32">
        <v>3763</v>
      </c>
      <c r="AF17" s="32">
        <v>2247</v>
      </c>
      <c r="AG17" s="32">
        <v>23142</v>
      </c>
      <c r="AH17" s="32">
        <v>12639</v>
      </c>
      <c r="AI17" s="32">
        <v>6310</v>
      </c>
      <c r="AJ17" s="32">
        <v>23142</v>
      </c>
      <c r="AK17" s="32">
        <v>49999</v>
      </c>
      <c r="AL17" s="32">
        <v>46.3</v>
      </c>
    </row>
    <row r="18" spans="1:38" ht="13.5" hidden="1" customHeight="1">
      <c r="A18" s="30" t="s">
        <v>1978</v>
      </c>
      <c r="B18" s="30" t="s">
        <v>2011</v>
      </c>
      <c r="C18" s="30" t="s">
        <v>235</v>
      </c>
      <c r="D18" s="30" t="s">
        <v>2012</v>
      </c>
      <c r="E18" s="30" t="s">
        <v>2046</v>
      </c>
      <c r="F18" s="31" t="s">
        <v>2047</v>
      </c>
      <c r="G18" s="30"/>
      <c r="H18" s="30" t="s">
        <v>2015</v>
      </c>
      <c r="I18" s="30" t="s">
        <v>2015</v>
      </c>
      <c r="J18" s="30" t="s">
        <v>2015</v>
      </c>
      <c r="K18" s="30" t="s">
        <v>2038</v>
      </c>
      <c r="L18" s="30" t="s">
        <v>2017</v>
      </c>
      <c r="M18" s="30" t="s">
        <v>2018</v>
      </c>
      <c r="N18" s="30" t="s">
        <v>2038</v>
      </c>
      <c r="O18" s="30" t="s">
        <v>2039</v>
      </c>
      <c r="P18" s="32">
        <v>36280</v>
      </c>
      <c r="Q18" s="32">
        <v>18904</v>
      </c>
      <c r="R18" s="32">
        <v>3848</v>
      </c>
      <c r="S18" s="32">
        <v>2080</v>
      </c>
      <c r="T18" s="32">
        <v>961</v>
      </c>
      <c r="U18" s="32">
        <v>2893</v>
      </c>
      <c r="V18" s="32">
        <v>1932</v>
      </c>
      <c r="W18" s="32">
        <v>1118</v>
      </c>
      <c r="X18" s="32">
        <v>6741</v>
      </c>
      <c r="Y18" s="32">
        <v>4012</v>
      </c>
      <c r="Z18" s="32">
        <v>2079</v>
      </c>
      <c r="AA18" s="32">
        <v>11506</v>
      </c>
      <c r="AB18" s="32">
        <v>6238</v>
      </c>
      <c r="AC18" s="32">
        <v>2888</v>
      </c>
      <c r="AD18" s="32">
        <v>3544</v>
      </c>
      <c r="AE18" s="32">
        <v>2358</v>
      </c>
      <c r="AF18" s="32">
        <v>1357</v>
      </c>
      <c r="AG18" s="32">
        <v>15050</v>
      </c>
      <c r="AH18" s="32">
        <v>8596</v>
      </c>
      <c r="AI18" s="32">
        <v>4245</v>
      </c>
      <c r="AJ18" s="32">
        <v>15050</v>
      </c>
      <c r="AK18" s="32">
        <v>35755</v>
      </c>
      <c r="AL18" s="32">
        <v>42.1</v>
      </c>
    </row>
    <row r="19" spans="1:38" ht="13.5" hidden="1" customHeight="1">
      <c r="A19" s="30" t="s">
        <v>1978</v>
      </c>
      <c r="B19" s="30" t="s">
        <v>2011</v>
      </c>
      <c r="C19" s="30" t="s">
        <v>235</v>
      </c>
      <c r="D19" s="30" t="s">
        <v>2012</v>
      </c>
      <c r="E19" s="30" t="s">
        <v>2048</v>
      </c>
      <c r="F19" s="31" t="s">
        <v>2049</v>
      </c>
      <c r="G19" s="30"/>
      <c r="H19" s="30" t="s">
        <v>2015</v>
      </c>
      <c r="I19" s="30" t="s">
        <v>2015</v>
      </c>
      <c r="J19" s="30" t="s">
        <v>2015</v>
      </c>
      <c r="K19" s="30" t="s">
        <v>2018</v>
      </c>
      <c r="L19" s="30" t="s">
        <v>2017</v>
      </c>
      <c r="M19" s="30" t="s">
        <v>2018</v>
      </c>
      <c r="N19" s="30" t="s">
        <v>2018</v>
      </c>
      <c r="O19" s="30" t="s">
        <v>2015</v>
      </c>
      <c r="P19" s="32">
        <v>33941</v>
      </c>
      <c r="Q19" s="32">
        <v>21919</v>
      </c>
      <c r="R19" s="32">
        <v>4467</v>
      </c>
      <c r="S19" s="32">
        <v>2437</v>
      </c>
      <c r="T19" s="32">
        <v>1146</v>
      </c>
      <c r="U19" s="32">
        <v>3663</v>
      </c>
      <c r="V19" s="32">
        <v>2796</v>
      </c>
      <c r="W19" s="32">
        <v>1772</v>
      </c>
      <c r="X19" s="32">
        <v>8130</v>
      </c>
      <c r="Y19" s="32">
        <v>5233</v>
      </c>
      <c r="Z19" s="32">
        <v>2918</v>
      </c>
      <c r="AA19" s="32">
        <v>13115</v>
      </c>
      <c r="AB19" s="32">
        <v>7176</v>
      </c>
      <c r="AC19" s="32">
        <v>3388</v>
      </c>
      <c r="AD19" s="32">
        <v>4366</v>
      </c>
      <c r="AE19" s="32">
        <v>3324</v>
      </c>
      <c r="AF19" s="32">
        <v>2106</v>
      </c>
      <c r="AG19" s="32">
        <v>17481</v>
      </c>
      <c r="AH19" s="32">
        <v>10500</v>
      </c>
      <c r="AI19" s="32">
        <v>5494</v>
      </c>
      <c r="AJ19" s="32">
        <v>17481</v>
      </c>
      <c r="AK19" s="32">
        <v>33020</v>
      </c>
      <c r="AL19" s="32">
        <v>52.9</v>
      </c>
    </row>
    <row r="20" spans="1:38" ht="13.5" hidden="1" customHeight="1">
      <c r="A20" s="30" t="s">
        <v>1978</v>
      </c>
      <c r="B20" s="30" t="s">
        <v>2011</v>
      </c>
      <c r="C20" s="30" t="s">
        <v>235</v>
      </c>
      <c r="D20" s="30" t="s">
        <v>2012</v>
      </c>
      <c r="E20" s="30" t="s">
        <v>2050</v>
      </c>
      <c r="F20" s="31" t="s">
        <v>2051</v>
      </c>
      <c r="G20" s="30"/>
      <c r="H20" s="30" t="s">
        <v>2015</v>
      </c>
      <c r="I20" s="30" t="s">
        <v>2015</v>
      </c>
      <c r="J20" s="30" t="s">
        <v>2015</v>
      </c>
      <c r="K20" s="30" t="s">
        <v>2018</v>
      </c>
      <c r="L20" s="30" t="s">
        <v>2017</v>
      </c>
      <c r="M20" s="30" t="s">
        <v>2018</v>
      </c>
      <c r="N20" s="30" t="s">
        <v>2018</v>
      </c>
      <c r="O20" s="30" t="s">
        <v>2015</v>
      </c>
      <c r="P20" s="32">
        <v>186742</v>
      </c>
      <c r="Q20" s="32">
        <v>94234</v>
      </c>
      <c r="R20" s="32">
        <v>17448</v>
      </c>
      <c r="S20" s="32">
        <v>8341</v>
      </c>
      <c r="T20" s="32">
        <v>3591</v>
      </c>
      <c r="U20" s="32">
        <v>14624</v>
      </c>
      <c r="V20" s="32">
        <v>9384</v>
      </c>
      <c r="W20" s="32">
        <v>5355</v>
      </c>
      <c r="X20" s="32">
        <v>32072</v>
      </c>
      <c r="Y20" s="32">
        <v>17725</v>
      </c>
      <c r="Z20" s="32">
        <v>8946</v>
      </c>
      <c r="AA20" s="32">
        <v>53298</v>
      </c>
      <c r="AB20" s="32">
        <v>25528</v>
      </c>
      <c r="AC20" s="32">
        <v>10971</v>
      </c>
      <c r="AD20" s="32">
        <v>18186</v>
      </c>
      <c r="AE20" s="32">
        <v>11667</v>
      </c>
      <c r="AF20" s="32">
        <v>6650</v>
      </c>
      <c r="AG20" s="32">
        <v>71484</v>
      </c>
      <c r="AH20" s="32">
        <v>37195</v>
      </c>
      <c r="AI20" s="32">
        <v>17621</v>
      </c>
      <c r="AJ20" s="32">
        <v>71484</v>
      </c>
      <c r="AK20" s="32">
        <v>184280</v>
      </c>
      <c r="AL20" s="32">
        <v>38.799999999999997</v>
      </c>
    </row>
    <row r="21" spans="1:38" ht="13.5" hidden="1" customHeight="1">
      <c r="A21" s="30" t="s">
        <v>1981</v>
      </c>
      <c r="B21" s="30" t="s">
        <v>2052</v>
      </c>
      <c r="C21" s="30" t="s">
        <v>235</v>
      </c>
      <c r="D21" s="30" t="s">
        <v>2012</v>
      </c>
      <c r="E21" s="30" t="s">
        <v>2015</v>
      </c>
      <c r="F21" s="30" t="s">
        <v>2015</v>
      </c>
      <c r="G21" s="30"/>
      <c r="H21" s="30" t="s">
        <v>2015</v>
      </c>
      <c r="I21" s="30" t="s">
        <v>2053</v>
      </c>
      <c r="J21" s="30" t="s">
        <v>2054</v>
      </c>
      <c r="K21" s="30" t="s">
        <v>2018</v>
      </c>
      <c r="L21" s="30" t="s">
        <v>2017</v>
      </c>
      <c r="M21" s="30" t="s">
        <v>2018</v>
      </c>
      <c r="N21" s="30" t="s">
        <v>2018</v>
      </c>
      <c r="O21" s="30" t="s">
        <v>2015</v>
      </c>
      <c r="P21" s="32">
        <v>818</v>
      </c>
      <c r="Q21" s="32">
        <v>344</v>
      </c>
      <c r="R21" s="32">
        <v>93</v>
      </c>
      <c r="S21" s="32">
        <v>47</v>
      </c>
      <c r="T21" s="32">
        <v>22</v>
      </c>
      <c r="U21" s="32">
        <v>103</v>
      </c>
      <c r="V21" s="32">
        <v>86</v>
      </c>
      <c r="W21" s="32">
        <v>42</v>
      </c>
      <c r="X21" s="32">
        <v>196</v>
      </c>
      <c r="Y21" s="32">
        <v>133</v>
      </c>
      <c r="Z21" s="32">
        <v>64</v>
      </c>
      <c r="AA21" s="32">
        <v>307</v>
      </c>
      <c r="AB21" s="32">
        <v>156</v>
      </c>
      <c r="AC21" s="32">
        <v>72</v>
      </c>
      <c r="AD21" s="32">
        <v>128</v>
      </c>
      <c r="AE21" s="32">
        <v>107</v>
      </c>
      <c r="AF21" s="32">
        <v>53</v>
      </c>
      <c r="AG21" s="32">
        <v>435</v>
      </c>
      <c r="AH21" s="32">
        <v>263</v>
      </c>
      <c r="AI21" s="32">
        <v>125</v>
      </c>
      <c r="AJ21" s="32">
        <v>435</v>
      </c>
      <c r="AK21" s="32">
        <v>818</v>
      </c>
      <c r="AL21" s="32">
        <v>53.2</v>
      </c>
    </row>
    <row r="22" spans="1:38" ht="13.5" hidden="1" customHeight="1">
      <c r="A22" s="30" t="s">
        <v>1981</v>
      </c>
      <c r="B22" s="30" t="s">
        <v>2052</v>
      </c>
      <c r="C22" s="30" t="s">
        <v>235</v>
      </c>
      <c r="D22" s="30" t="s">
        <v>2012</v>
      </c>
      <c r="E22" s="30" t="s">
        <v>2015</v>
      </c>
      <c r="F22" s="30" t="s">
        <v>2015</v>
      </c>
      <c r="G22" s="30"/>
      <c r="H22" s="30" t="s">
        <v>2015</v>
      </c>
      <c r="I22" s="30" t="s">
        <v>2055</v>
      </c>
      <c r="J22" s="30" t="s">
        <v>2056</v>
      </c>
      <c r="K22" s="30" t="s">
        <v>2018</v>
      </c>
      <c r="L22" s="30" t="s">
        <v>2017</v>
      </c>
      <c r="M22" s="30" t="s">
        <v>2018</v>
      </c>
      <c r="N22" s="30" t="s">
        <v>2018</v>
      </c>
      <c r="O22" s="30" t="s">
        <v>2015</v>
      </c>
      <c r="P22" s="32">
        <v>18560</v>
      </c>
      <c r="Q22" s="32">
        <v>9480</v>
      </c>
      <c r="R22" s="32">
        <v>1704</v>
      </c>
      <c r="S22" s="32">
        <v>919</v>
      </c>
      <c r="T22" s="32">
        <v>449</v>
      </c>
      <c r="U22" s="32">
        <v>2666</v>
      </c>
      <c r="V22" s="32">
        <v>1856</v>
      </c>
      <c r="W22" s="32">
        <v>1083</v>
      </c>
      <c r="X22" s="32">
        <v>4370</v>
      </c>
      <c r="Y22" s="32">
        <v>2775</v>
      </c>
      <c r="Z22" s="32">
        <v>1532</v>
      </c>
      <c r="AA22" s="32">
        <v>4891</v>
      </c>
      <c r="AB22" s="32">
        <v>2661</v>
      </c>
      <c r="AC22" s="32">
        <v>1307</v>
      </c>
      <c r="AD22" s="32">
        <v>3195</v>
      </c>
      <c r="AE22" s="32">
        <v>2202</v>
      </c>
      <c r="AF22" s="32">
        <v>1275</v>
      </c>
      <c r="AG22" s="32">
        <v>8086</v>
      </c>
      <c r="AH22" s="32">
        <v>4863</v>
      </c>
      <c r="AI22" s="32">
        <v>2582</v>
      </c>
      <c r="AJ22" s="32">
        <v>8086</v>
      </c>
      <c r="AK22" s="32">
        <v>17966</v>
      </c>
      <c r="AL22" s="32">
        <v>45</v>
      </c>
    </row>
    <row r="23" spans="1:38" ht="13.5" hidden="1" customHeight="1">
      <c r="A23" s="30" t="s">
        <v>1981</v>
      </c>
      <c r="B23" s="30" t="s">
        <v>2052</v>
      </c>
      <c r="C23" s="30" t="s">
        <v>235</v>
      </c>
      <c r="D23" s="30" t="s">
        <v>2012</v>
      </c>
      <c r="E23" s="30" t="s">
        <v>2015</v>
      </c>
      <c r="F23" s="30" t="s">
        <v>2015</v>
      </c>
      <c r="G23" s="30"/>
      <c r="H23" s="30" t="s">
        <v>2015</v>
      </c>
      <c r="I23" s="30" t="s">
        <v>2057</v>
      </c>
      <c r="J23" s="30" t="s">
        <v>2058</v>
      </c>
      <c r="K23" s="30" t="s">
        <v>2018</v>
      </c>
      <c r="L23" s="30" t="s">
        <v>2017</v>
      </c>
      <c r="M23" s="30" t="s">
        <v>2018</v>
      </c>
      <c r="N23" s="30" t="s">
        <v>2018</v>
      </c>
      <c r="O23" s="30" t="s">
        <v>2015</v>
      </c>
      <c r="P23" s="32">
        <v>2680</v>
      </c>
      <c r="Q23" s="32">
        <v>1558</v>
      </c>
      <c r="R23" s="32">
        <v>120</v>
      </c>
      <c r="S23" s="32">
        <v>47</v>
      </c>
      <c r="T23" s="32">
        <v>26</v>
      </c>
      <c r="U23" s="32">
        <v>441</v>
      </c>
      <c r="V23" s="32">
        <v>324</v>
      </c>
      <c r="W23" s="32">
        <v>170</v>
      </c>
      <c r="X23" s="32">
        <v>561</v>
      </c>
      <c r="Y23" s="32">
        <v>371</v>
      </c>
      <c r="Z23" s="32">
        <v>196</v>
      </c>
      <c r="AA23" s="32">
        <v>326</v>
      </c>
      <c r="AB23" s="32">
        <v>126</v>
      </c>
      <c r="AC23" s="32">
        <v>68</v>
      </c>
      <c r="AD23" s="32">
        <v>590</v>
      </c>
      <c r="AE23" s="32">
        <v>430</v>
      </c>
      <c r="AF23" s="32">
        <v>225</v>
      </c>
      <c r="AG23" s="32">
        <v>916</v>
      </c>
      <c r="AH23" s="32">
        <v>556</v>
      </c>
      <c r="AI23" s="32">
        <v>293</v>
      </c>
      <c r="AJ23" s="32">
        <v>916</v>
      </c>
      <c r="AK23" s="32">
        <v>2475</v>
      </c>
      <c r="AL23" s="32">
        <v>37</v>
      </c>
    </row>
    <row r="24" spans="1:38" ht="13.5" hidden="1" customHeight="1">
      <c r="A24" s="30" t="s">
        <v>1981</v>
      </c>
      <c r="B24" s="30" t="s">
        <v>2052</v>
      </c>
      <c r="C24" s="30" t="s">
        <v>235</v>
      </c>
      <c r="D24" s="30" t="s">
        <v>2012</v>
      </c>
      <c r="E24" s="30" t="s">
        <v>2015</v>
      </c>
      <c r="F24" s="30" t="s">
        <v>2015</v>
      </c>
      <c r="G24" s="30"/>
      <c r="H24" s="30" t="s">
        <v>2015</v>
      </c>
      <c r="I24" s="30" t="s">
        <v>2059</v>
      </c>
      <c r="J24" s="30" t="s">
        <v>2060</v>
      </c>
      <c r="K24" s="30" t="s">
        <v>2018</v>
      </c>
      <c r="L24" s="30" t="s">
        <v>2017</v>
      </c>
      <c r="M24" s="30" t="s">
        <v>2018</v>
      </c>
      <c r="N24" s="30" t="s">
        <v>2018</v>
      </c>
      <c r="O24" s="30" t="s">
        <v>2015</v>
      </c>
      <c r="P24" s="32">
        <v>9266</v>
      </c>
      <c r="Q24" s="32">
        <v>4383</v>
      </c>
      <c r="R24" s="32">
        <v>892</v>
      </c>
      <c r="S24" s="32">
        <v>464</v>
      </c>
      <c r="T24" s="32">
        <v>235</v>
      </c>
      <c r="U24" s="32">
        <v>1084</v>
      </c>
      <c r="V24" s="32">
        <v>672</v>
      </c>
      <c r="W24" s="32">
        <v>334</v>
      </c>
      <c r="X24" s="32">
        <v>1976</v>
      </c>
      <c r="Y24" s="32">
        <v>1136</v>
      </c>
      <c r="Z24" s="32">
        <v>569</v>
      </c>
      <c r="AA24" s="32">
        <v>2724</v>
      </c>
      <c r="AB24" s="32">
        <v>1396</v>
      </c>
      <c r="AC24" s="32">
        <v>708</v>
      </c>
      <c r="AD24" s="32">
        <v>1272</v>
      </c>
      <c r="AE24" s="32">
        <v>767</v>
      </c>
      <c r="AF24" s="32">
        <v>378</v>
      </c>
      <c r="AG24" s="32">
        <v>3996</v>
      </c>
      <c r="AH24" s="32">
        <v>2163</v>
      </c>
      <c r="AI24" s="32">
        <v>1086</v>
      </c>
      <c r="AJ24" s="32">
        <v>3996</v>
      </c>
      <c r="AK24" s="32">
        <v>9148</v>
      </c>
      <c r="AL24" s="32">
        <v>43.7</v>
      </c>
    </row>
    <row r="25" spans="1:38" ht="13.5" hidden="1" customHeight="1">
      <c r="A25" s="30" t="s">
        <v>1981</v>
      </c>
      <c r="B25" s="30" t="s">
        <v>2052</v>
      </c>
      <c r="C25" s="30" t="s">
        <v>235</v>
      </c>
      <c r="D25" s="30" t="s">
        <v>2012</v>
      </c>
      <c r="E25" s="30" t="s">
        <v>2015</v>
      </c>
      <c r="F25" s="30" t="s">
        <v>2015</v>
      </c>
      <c r="G25" s="30"/>
      <c r="H25" s="30" t="s">
        <v>2015</v>
      </c>
      <c r="I25" s="30" t="s">
        <v>2061</v>
      </c>
      <c r="J25" s="30" t="s">
        <v>2062</v>
      </c>
      <c r="K25" s="30" t="s">
        <v>2018</v>
      </c>
      <c r="L25" s="30" t="s">
        <v>2017</v>
      </c>
      <c r="M25" s="30" t="s">
        <v>2018</v>
      </c>
      <c r="N25" s="30" t="s">
        <v>2018</v>
      </c>
      <c r="O25" s="30" t="s">
        <v>2015</v>
      </c>
      <c r="P25" s="32">
        <v>6381</v>
      </c>
      <c r="Q25" s="32">
        <v>3121</v>
      </c>
      <c r="R25" s="32">
        <v>637</v>
      </c>
      <c r="S25" s="32">
        <v>326</v>
      </c>
      <c r="T25" s="32">
        <v>127</v>
      </c>
      <c r="U25" s="32">
        <v>631</v>
      </c>
      <c r="V25" s="32">
        <v>427</v>
      </c>
      <c r="W25" s="32">
        <v>244</v>
      </c>
      <c r="X25" s="32">
        <v>1268</v>
      </c>
      <c r="Y25" s="32">
        <v>753</v>
      </c>
      <c r="Z25" s="32">
        <v>371</v>
      </c>
      <c r="AA25" s="32">
        <v>1824</v>
      </c>
      <c r="AB25" s="32">
        <v>934</v>
      </c>
      <c r="AC25" s="32">
        <v>368</v>
      </c>
      <c r="AD25" s="32">
        <v>763</v>
      </c>
      <c r="AE25" s="32">
        <v>514</v>
      </c>
      <c r="AF25" s="32">
        <v>294</v>
      </c>
      <c r="AG25" s="32">
        <v>2587</v>
      </c>
      <c r="AH25" s="32">
        <v>1448</v>
      </c>
      <c r="AI25" s="32">
        <v>662</v>
      </c>
      <c r="AJ25" s="32">
        <v>2587</v>
      </c>
      <c r="AK25" s="32">
        <v>6163</v>
      </c>
      <c r="AL25" s="32">
        <v>42</v>
      </c>
    </row>
    <row r="26" spans="1:38" ht="13.5" hidden="1" customHeight="1">
      <c r="A26" s="30" t="s">
        <v>1981</v>
      </c>
      <c r="B26" s="30" t="s">
        <v>2052</v>
      </c>
      <c r="C26" s="30" t="s">
        <v>235</v>
      </c>
      <c r="D26" s="30" t="s">
        <v>2012</v>
      </c>
      <c r="E26" s="30" t="s">
        <v>2015</v>
      </c>
      <c r="F26" s="30" t="s">
        <v>2015</v>
      </c>
      <c r="G26" s="30"/>
      <c r="H26" s="30" t="s">
        <v>2015</v>
      </c>
      <c r="I26" s="30" t="s">
        <v>2063</v>
      </c>
      <c r="J26" s="30" t="s">
        <v>2064</v>
      </c>
      <c r="K26" s="30" t="s">
        <v>2065</v>
      </c>
      <c r="L26" s="30" t="s">
        <v>2066</v>
      </c>
      <c r="M26" s="30" t="s">
        <v>2067</v>
      </c>
      <c r="N26" s="30" t="s">
        <v>2067</v>
      </c>
      <c r="O26" s="30" t="s">
        <v>2068</v>
      </c>
      <c r="P26" s="32">
        <v>1993</v>
      </c>
      <c r="Q26" s="32">
        <v>806</v>
      </c>
      <c r="R26" s="32">
        <v>249</v>
      </c>
      <c r="S26" s="32">
        <v>169</v>
      </c>
      <c r="T26" s="32">
        <v>98</v>
      </c>
      <c r="U26" s="32">
        <v>258</v>
      </c>
      <c r="V26" s="32">
        <v>163</v>
      </c>
      <c r="W26" s="32">
        <v>89</v>
      </c>
      <c r="X26" s="32">
        <v>507</v>
      </c>
      <c r="Y26" s="32">
        <v>332</v>
      </c>
      <c r="Z26" s="32">
        <v>187</v>
      </c>
      <c r="AA26" s="32">
        <v>854</v>
      </c>
      <c r="AB26" s="32">
        <v>570</v>
      </c>
      <c r="AC26" s="32">
        <v>321</v>
      </c>
      <c r="AD26" s="32">
        <v>301</v>
      </c>
      <c r="AE26" s="32">
        <v>192</v>
      </c>
      <c r="AF26" s="32">
        <v>106</v>
      </c>
      <c r="AG26" s="32">
        <v>1155</v>
      </c>
      <c r="AH26" s="32">
        <v>762</v>
      </c>
      <c r="AI26" s="32">
        <v>427</v>
      </c>
      <c r="AJ26" s="32">
        <v>1155</v>
      </c>
      <c r="AK26" s="32">
        <v>1902</v>
      </c>
      <c r="AL26" s="32">
        <v>60.7</v>
      </c>
    </row>
    <row r="27" spans="1:38" ht="13.5" hidden="1" customHeight="1">
      <c r="A27" s="30" t="s">
        <v>1981</v>
      </c>
      <c r="B27" s="30" t="s">
        <v>2052</v>
      </c>
      <c r="C27" s="30" t="s">
        <v>235</v>
      </c>
      <c r="D27" s="30" t="s">
        <v>2012</v>
      </c>
      <c r="E27" s="30" t="s">
        <v>2015</v>
      </c>
      <c r="F27" s="30" t="s">
        <v>2015</v>
      </c>
      <c r="G27" s="30"/>
      <c r="H27" s="30" t="s">
        <v>2015</v>
      </c>
      <c r="I27" s="30" t="s">
        <v>2069</v>
      </c>
      <c r="J27" s="30" t="s">
        <v>2070</v>
      </c>
      <c r="K27" s="30" t="s">
        <v>2018</v>
      </c>
      <c r="L27" s="30" t="s">
        <v>2017</v>
      </c>
      <c r="M27" s="30" t="s">
        <v>2018</v>
      </c>
      <c r="N27" s="30" t="s">
        <v>2018</v>
      </c>
      <c r="O27" s="30" t="s">
        <v>2015</v>
      </c>
      <c r="P27" s="32">
        <v>20942</v>
      </c>
      <c r="Q27" s="32">
        <v>9631</v>
      </c>
      <c r="R27" s="32">
        <v>2108</v>
      </c>
      <c r="S27" s="32">
        <v>1121</v>
      </c>
      <c r="T27" s="32">
        <v>500</v>
      </c>
      <c r="U27" s="32">
        <v>2257</v>
      </c>
      <c r="V27" s="32">
        <v>1559</v>
      </c>
      <c r="W27" s="32">
        <v>1033</v>
      </c>
      <c r="X27" s="32">
        <v>4365</v>
      </c>
      <c r="Y27" s="32">
        <v>2680</v>
      </c>
      <c r="Z27" s="32">
        <v>1533</v>
      </c>
      <c r="AA27" s="32">
        <v>6305</v>
      </c>
      <c r="AB27" s="32">
        <v>3376</v>
      </c>
      <c r="AC27" s="32">
        <v>1528</v>
      </c>
      <c r="AD27" s="32">
        <v>2824</v>
      </c>
      <c r="AE27" s="32">
        <v>1932</v>
      </c>
      <c r="AF27" s="32">
        <v>1264</v>
      </c>
      <c r="AG27" s="32">
        <v>9129</v>
      </c>
      <c r="AH27" s="32">
        <v>5308</v>
      </c>
      <c r="AI27" s="32">
        <v>2792</v>
      </c>
      <c r="AJ27" s="32">
        <v>9129</v>
      </c>
      <c r="AK27" s="32">
        <v>20031</v>
      </c>
      <c r="AL27" s="32">
        <v>45.6</v>
      </c>
    </row>
    <row r="28" spans="1:38" ht="13.5" hidden="1" customHeight="1">
      <c r="A28" s="30" t="s">
        <v>1981</v>
      </c>
      <c r="B28" s="30" t="s">
        <v>2052</v>
      </c>
      <c r="C28" s="30" t="s">
        <v>235</v>
      </c>
      <c r="D28" s="30" t="s">
        <v>2012</v>
      </c>
      <c r="E28" s="30" t="s">
        <v>2015</v>
      </c>
      <c r="F28" s="30" t="s">
        <v>2015</v>
      </c>
      <c r="G28" s="30"/>
      <c r="H28" s="30" t="s">
        <v>2015</v>
      </c>
      <c r="I28" s="30" t="s">
        <v>2071</v>
      </c>
      <c r="J28" s="30" t="s">
        <v>2072</v>
      </c>
      <c r="K28" s="30" t="s">
        <v>2018</v>
      </c>
      <c r="L28" s="30" t="s">
        <v>2017</v>
      </c>
      <c r="M28" s="30" t="s">
        <v>2018</v>
      </c>
      <c r="N28" s="30" t="s">
        <v>2018</v>
      </c>
      <c r="O28" s="30" t="s">
        <v>2015</v>
      </c>
      <c r="P28" s="32">
        <v>856</v>
      </c>
      <c r="Q28" s="32">
        <v>487</v>
      </c>
      <c r="R28" s="32">
        <v>113</v>
      </c>
      <c r="S28" s="32">
        <v>53</v>
      </c>
      <c r="T28" s="32">
        <v>32</v>
      </c>
      <c r="U28" s="32">
        <v>102</v>
      </c>
      <c r="V28" s="32">
        <v>79</v>
      </c>
      <c r="W28" s="32">
        <v>50</v>
      </c>
      <c r="X28" s="32">
        <v>215</v>
      </c>
      <c r="Y28" s="32">
        <v>132</v>
      </c>
      <c r="Z28" s="32">
        <v>82</v>
      </c>
      <c r="AA28" s="32">
        <v>328</v>
      </c>
      <c r="AB28" s="32">
        <v>154</v>
      </c>
      <c r="AC28" s="32">
        <v>93</v>
      </c>
      <c r="AD28" s="32">
        <v>122</v>
      </c>
      <c r="AE28" s="32">
        <v>95</v>
      </c>
      <c r="AF28" s="32">
        <v>60</v>
      </c>
      <c r="AG28" s="32">
        <v>450</v>
      </c>
      <c r="AH28" s="32">
        <v>249</v>
      </c>
      <c r="AI28" s="32">
        <v>153</v>
      </c>
      <c r="AJ28" s="32">
        <v>450</v>
      </c>
      <c r="AK28" s="32">
        <v>813</v>
      </c>
      <c r="AL28" s="32">
        <v>55.4</v>
      </c>
    </row>
    <row r="29" spans="1:38" ht="13.5" hidden="1" customHeight="1">
      <c r="A29" s="30" t="s">
        <v>1981</v>
      </c>
      <c r="B29" s="30" t="s">
        <v>2052</v>
      </c>
      <c r="C29" s="30" t="s">
        <v>235</v>
      </c>
      <c r="D29" s="30" t="s">
        <v>2012</v>
      </c>
      <c r="E29" s="30" t="s">
        <v>2015</v>
      </c>
      <c r="F29" s="30" t="s">
        <v>2015</v>
      </c>
      <c r="G29" s="30"/>
      <c r="H29" s="30" t="s">
        <v>2015</v>
      </c>
      <c r="I29" s="30" t="s">
        <v>2073</v>
      </c>
      <c r="J29" s="30" t="s">
        <v>2074</v>
      </c>
      <c r="K29" s="30" t="s">
        <v>2018</v>
      </c>
      <c r="L29" s="30" t="s">
        <v>2017</v>
      </c>
      <c r="M29" s="30" t="s">
        <v>2018</v>
      </c>
      <c r="N29" s="30" t="s">
        <v>2018</v>
      </c>
      <c r="O29" s="30" t="s">
        <v>2015</v>
      </c>
      <c r="P29" s="32">
        <v>1237</v>
      </c>
      <c r="Q29" s="32">
        <v>800</v>
      </c>
      <c r="R29" s="32">
        <v>153</v>
      </c>
      <c r="S29" s="32">
        <v>62</v>
      </c>
      <c r="T29" s="32">
        <v>32</v>
      </c>
      <c r="U29" s="32">
        <v>185</v>
      </c>
      <c r="V29" s="32">
        <v>123</v>
      </c>
      <c r="W29" s="32">
        <v>63</v>
      </c>
      <c r="X29" s="32">
        <v>338</v>
      </c>
      <c r="Y29" s="32">
        <v>185</v>
      </c>
      <c r="Z29" s="32">
        <v>95</v>
      </c>
      <c r="AA29" s="32">
        <v>429</v>
      </c>
      <c r="AB29" s="32">
        <v>177</v>
      </c>
      <c r="AC29" s="32">
        <v>93</v>
      </c>
      <c r="AD29" s="32">
        <v>213</v>
      </c>
      <c r="AE29" s="32">
        <v>141</v>
      </c>
      <c r="AF29" s="32">
        <v>72</v>
      </c>
      <c r="AG29" s="32">
        <v>642</v>
      </c>
      <c r="AH29" s="32">
        <v>318</v>
      </c>
      <c r="AI29" s="32">
        <v>165</v>
      </c>
      <c r="AJ29" s="32">
        <v>642</v>
      </c>
      <c r="AK29" s="32">
        <v>1332</v>
      </c>
      <c r="AL29" s="32">
        <v>48.2</v>
      </c>
    </row>
    <row r="30" spans="1:38" ht="13.5" hidden="1" customHeight="1">
      <c r="A30" s="30" t="s">
        <v>1981</v>
      </c>
      <c r="B30" s="30" t="s">
        <v>2052</v>
      </c>
      <c r="C30" s="30" t="s">
        <v>235</v>
      </c>
      <c r="D30" s="30" t="s">
        <v>2012</v>
      </c>
      <c r="E30" s="30" t="s">
        <v>2015</v>
      </c>
      <c r="F30" s="30" t="s">
        <v>2015</v>
      </c>
      <c r="G30" s="30"/>
      <c r="H30" s="30" t="s">
        <v>2015</v>
      </c>
      <c r="I30" s="30" t="s">
        <v>2075</v>
      </c>
      <c r="J30" s="30" t="s">
        <v>2076</v>
      </c>
      <c r="K30" s="30" t="s">
        <v>2038</v>
      </c>
      <c r="L30" s="30" t="s">
        <v>2017</v>
      </c>
      <c r="M30" s="30" t="s">
        <v>2018</v>
      </c>
      <c r="N30" s="30" t="s">
        <v>2038</v>
      </c>
      <c r="O30" s="30" t="s">
        <v>2039</v>
      </c>
      <c r="P30" s="32">
        <v>8987</v>
      </c>
      <c r="Q30" s="32">
        <v>4064</v>
      </c>
      <c r="R30" s="32">
        <v>758</v>
      </c>
      <c r="S30" s="32">
        <v>367</v>
      </c>
      <c r="T30" s="32">
        <v>217</v>
      </c>
      <c r="U30" s="32">
        <v>911</v>
      </c>
      <c r="V30" s="32">
        <v>651</v>
      </c>
      <c r="W30" s="32">
        <v>382</v>
      </c>
      <c r="X30" s="32">
        <v>1669</v>
      </c>
      <c r="Y30" s="32">
        <v>1018</v>
      </c>
      <c r="Z30" s="32">
        <v>599</v>
      </c>
      <c r="AA30" s="32">
        <v>2195</v>
      </c>
      <c r="AB30" s="32">
        <v>1072</v>
      </c>
      <c r="AC30" s="32">
        <v>637</v>
      </c>
      <c r="AD30" s="32">
        <v>1158</v>
      </c>
      <c r="AE30" s="32">
        <v>829</v>
      </c>
      <c r="AF30" s="32">
        <v>481</v>
      </c>
      <c r="AG30" s="32">
        <v>3353</v>
      </c>
      <c r="AH30" s="32">
        <v>1901</v>
      </c>
      <c r="AI30" s="32">
        <v>1118</v>
      </c>
      <c r="AJ30" s="32">
        <v>3353</v>
      </c>
      <c r="AK30" s="32">
        <v>8820</v>
      </c>
      <c r="AL30" s="32">
        <v>38</v>
      </c>
    </row>
    <row r="31" spans="1:38" ht="13.5" hidden="1" customHeight="1">
      <c r="A31" s="30" t="s">
        <v>1981</v>
      </c>
      <c r="B31" s="30" t="s">
        <v>2052</v>
      </c>
      <c r="C31" s="30" t="s">
        <v>235</v>
      </c>
      <c r="D31" s="30" t="s">
        <v>2012</v>
      </c>
      <c r="E31" s="30" t="s">
        <v>2015</v>
      </c>
      <c r="F31" s="30" t="s">
        <v>2015</v>
      </c>
      <c r="G31" s="30"/>
      <c r="H31" s="30" t="s">
        <v>2015</v>
      </c>
      <c r="I31" s="30" t="s">
        <v>2077</v>
      </c>
      <c r="J31" s="30" t="s">
        <v>2078</v>
      </c>
      <c r="K31" s="30" t="s">
        <v>2018</v>
      </c>
      <c r="L31" s="30" t="s">
        <v>2017</v>
      </c>
      <c r="M31" s="30" t="s">
        <v>2018</v>
      </c>
      <c r="N31" s="30" t="s">
        <v>2018</v>
      </c>
      <c r="O31" s="30" t="s">
        <v>2015</v>
      </c>
      <c r="P31" s="32">
        <v>2359</v>
      </c>
      <c r="Q31" s="32">
        <v>1334</v>
      </c>
      <c r="R31" s="32">
        <v>289</v>
      </c>
      <c r="S31" s="32">
        <v>118</v>
      </c>
      <c r="T31" s="32">
        <v>72</v>
      </c>
      <c r="U31" s="32">
        <v>276</v>
      </c>
      <c r="V31" s="32">
        <v>183</v>
      </c>
      <c r="W31" s="32">
        <v>106</v>
      </c>
      <c r="X31" s="32">
        <v>565</v>
      </c>
      <c r="Y31" s="32">
        <v>301</v>
      </c>
      <c r="Z31" s="32">
        <v>178</v>
      </c>
      <c r="AA31" s="32">
        <v>949</v>
      </c>
      <c r="AB31" s="32">
        <v>351</v>
      </c>
      <c r="AC31" s="32">
        <v>225</v>
      </c>
      <c r="AD31" s="32">
        <v>323</v>
      </c>
      <c r="AE31" s="32">
        <v>212</v>
      </c>
      <c r="AF31" s="32">
        <v>123</v>
      </c>
      <c r="AG31" s="32">
        <v>1272</v>
      </c>
      <c r="AH31" s="32">
        <v>563</v>
      </c>
      <c r="AI31" s="32">
        <v>348</v>
      </c>
      <c r="AJ31" s="32">
        <v>1272</v>
      </c>
      <c r="AK31" s="32">
        <v>2392</v>
      </c>
      <c r="AL31" s="32">
        <v>53.2</v>
      </c>
    </row>
    <row r="32" spans="1:38" ht="13.5" hidden="1" customHeight="1">
      <c r="A32" s="30" t="s">
        <v>1981</v>
      </c>
      <c r="B32" s="30" t="s">
        <v>2052</v>
      </c>
      <c r="C32" s="30" t="s">
        <v>235</v>
      </c>
      <c r="D32" s="30" t="s">
        <v>2012</v>
      </c>
      <c r="E32" s="30" t="s">
        <v>2015</v>
      </c>
      <c r="F32" s="30" t="s">
        <v>2015</v>
      </c>
      <c r="G32" s="30"/>
      <c r="H32" s="30" t="s">
        <v>2015</v>
      </c>
      <c r="I32" s="30" t="s">
        <v>2079</v>
      </c>
      <c r="J32" s="30" t="s">
        <v>2080</v>
      </c>
      <c r="K32" s="30" t="s">
        <v>2018</v>
      </c>
      <c r="L32" s="30" t="s">
        <v>2017</v>
      </c>
      <c r="M32" s="30" t="s">
        <v>2018</v>
      </c>
      <c r="N32" s="30" t="s">
        <v>2018</v>
      </c>
      <c r="O32" s="30" t="s">
        <v>2015</v>
      </c>
      <c r="P32" s="32">
        <v>14816</v>
      </c>
      <c r="Q32" s="32">
        <v>6192</v>
      </c>
      <c r="R32" s="32">
        <v>1124</v>
      </c>
      <c r="S32" s="32">
        <v>502</v>
      </c>
      <c r="T32" s="32">
        <v>185</v>
      </c>
      <c r="U32" s="32">
        <v>1516</v>
      </c>
      <c r="V32" s="32">
        <v>1005</v>
      </c>
      <c r="W32" s="32">
        <v>572</v>
      </c>
      <c r="X32" s="32">
        <v>2640</v>
      </c>
      <c r="Y32" s="32">
        <v>1507</v>
      </c>
      <c r="Z32" s="32">
        <v>757</v>
      </c>
      <c r="AA32" s="32">
        <v>3302</v>
      </c>
      <c r="AB32" s="32">
        <v>1453</v>
      </c>
      <c r="AC32" s="32">
        <v>528</v>
      </c>
      <c r="AD32" s="32">
        <v>1772</v>
      </c>
      <c r="AE32" s="32">
        <v>1161</v>
      </c>
      <c r="AF32" s="32">
        <v>663</v>
      </c>
      <c r="AG32" s="32">
        <v>5074</v>
      </c>
      <c r="AH32" s="32">
        <v>2614</v>
      </c>
      <c r="AI32" s="32">
        <v>1191</v>
      </c>
      <c r="AJ32" s="32">
        <v>5074</v>
      </c>
      <c r="AK32" s="32">
        <v>13010</v>
      </c>
      <c r="AL32" s="32">
        <v>39</v>
      </c>
    </row>
    <row r="33" spans="1:38" ht="13.5" hidden="1" customHeight="1">
      <c r="A33" s="30" t="s">
        <v>1981</v>
      </c>
      <c r="B33" s="30" t="s">
        <v>2052</v>
      </c>
      <c r="C33" s="30" t="s">
        <v>235</v>
      </c>
      <c r="D33" s="30" t="s">
        <v>2012</v>
      </c>
      <c r="E33" s="30" t="s">
        <v>2015</v>
      </c>
      <c r="F33" s="30" t="s">
        <v>2015</v>
      </c>
      <c r="G33" s="30"/>
      <c r="H33" s="30" t="s">
        <v>2015</v>
      </c>
      <c r="I33" s="30" t="s">
        <v>2081</v>
      </c>
      <c r="J33" s="30" t="s">
        <v>2082</v>
      </c>
      <c r="K33" s="30" t="s">
        <v>2018</v>
      </c>
      <c r="L33" s="30" t="s">
        <v>2017</v>
      </c>
      <c r="M33" s="30" t="s">
        <v>2018</v>
      </c>
      <c r="N33" s="30" t="s">
        <v>2018</v>
      </c>
      <c r="O33" s="30" t="s">
        <v>2015</v>
      </c>
      <c r="P33" s="32">
        <v>1511</v>
      </c>
      <c r="Q33" s="32">
        <v>383</v>
      </c>
      <c r="R33" s="32">
        <v>181</v>
      </c>
      <c r="S33" s="32">
        <v>86</v>
      </c>
      <c r="T33" s="32">
        <v>19</v>
      </c>
      <c r="U33" s="32">
        <v>27</v>
      </c>
      <c r="V33" s="32">
        <v>16</v>
      </c>
      <c r="W33" s="32">
        <v>8</v>
      </c>
      <c r="X33" s="32">
        <v>208</v>
      </c>
      <c r="Y33" s="32">
        <v>102</v>
      </c>
      <c r="Z33" s="32">
        <v>27</v>
      </c>
      <c r="AA33" s="32">
        <v>579</v>
      </c>
      <c r="AB33" s="32">
        <v>275</v>
      </c>
      <c r="AC33" s="32">
        <v>61</v>
      </c>
      <c r="AD33" s="32">
        <v>41</v>
      </c>
      <c r="AE33" s="32">
        <v>24</v>
      </c>
      <c r="AF33" s="32">
        <v>12</v>
      </c>
      <c r="AG33" s="32">
        <v>620</v>
      </c>
      <c r="AH33" s="32">
        <v>299</v>
      </c>
      <c r="AI33" s="32">
        <v>73</v>
      </c>
      <c r="AJ33" s="32">
        <v>620</v>
      </c>
      <c r="AK33" s="32">
        <v>1103</v>
      </c>
      <c r="AL33" s="32">
        <v>56.2</v>
      </c>
    </row>
    <row r="34" spans="1:38" ht="13.5" hidden="1" customHeight="1">
      <c r="A34" s="30" t="s">
        <v>1981</v>
      </c>
      <c r="B34" s="30" t="s">
        <v>2052</v>
      </c>
      <c r="C34" s="30" t="s">
        <v>235</v>
      </c>
      <c r="D34" s="30" t="s">
        <v>2012</v>
      </c>
      <c r="E34" s="30" t="s">
        <v>2015</v>
      </c>
      <c r="F34" s="30" t="s">
        <v>2015</v>
      </c>
      <c r="G34" s="30"/>
      <c r="H34" s="30" t="s">
        <v>2015</v>
      </c>
      <c r="I34" s="30" t="s">
        <v>2083</v>
      </c>
      <c r="J34" s="30" t="s">
        <v>2084</v>
      </c>
      <c r="K34" s="30" t="s">
        <v>2018</v>
      </c>
      <c r="L34" s="30" t="s">
        <v>2017</v>
      </c>
      <c r="M34" s="30" t="s">
        <v>2018</v>
      </c>
      <c r="N34" s="30" t="s">
        <v>2018</v>
      </c>
      <c r="O34" s="30" t="s">
        <v>2015</v>
      </c>
      <c r="P34" s="32">
        <v>2970</v>
      </c>
      <c r="Q34" s="32">
        <v>1381</v>
      </c>
      <c r="R34" s="32">
        <v>278</v>
      </c>
      <c r="S34" s="32">
        <v>137</v>
      </c>
      <c r="T34" s="32">
        <v>83</v>
      </c>
      <c r="U34" s="32">
        <v>305</v>
      </c>
      <c r="V34" s="32">
        <v>191</v>
      </c>
      <c r="W34" s="32">
        <v>125</v>
      </c>
      <c r="X34" s="32">
        <v>583</v>
      </c>
      <c r="Y34" s="32">
        <v>328</v>
      </c>
      <c r="Z34" s="32">
        <v>208</v>
      </c>
      <c r="AA34" s="32">
        <v>854</v>
      </c>
      <c r="AB34" s="32">
        <v>421</v>
      </c>
      <c r="AC34" s="32">
        <v>255</v>
      </c>
      <c r="AD34" s="32">
        <v>343</v>
      </c>
      <c r="AE34" s="32">
        <v>216</v>
      </c>
      <c r="AF34" s="32">
        <v>140</v>
      </c>
      <c r="AG34" s="32">
        <v>1197</v>
      </c>
      <c r="AH34" s="32">
        <v>637</v>
      </c>
      <c r="AI34" s="32">
        <v>395</v>
      </c>
      <c r="AJ34" s="32">
        <v>1197</v>
      </c>
      <c r="AK34" s="32">
        <v>2957</v>
      </c>
      <c r="AL34" s="32">
        <v>40.5</v>
      </c>
    </row>
    <row r="35" spans="1:38" ht="13.5" hidden="1" customHeight="1">
      <c r="A35" s="30" t="s">
        <v>1981</v>
      </c>
      <c r="B35" s="30" t="s">
        <v>2052</v>
      </c>
      <c r="C35" s="30" t="s">
        <v>235</v>
      </c>
      <c r="D35" s="30" t="s">
        <v>2012</v>
      </c>
      <c r="E35" s="30" t="s">
        <v>2015</v>
      </c>
      <c r="F35" s="30" t="s">
        <v>2015</v>
      </c>
      <c r="G35" s="30"/>
      <c r="H35" s="30" t="s">
        <v>2015</v>
      </c>
      <c r="I35" s="30" t="s">
        <v>2085</v>
      </c>
      <c r="J35" s="30" t="s">
        <v>2086</v>
      </c>
      <c r="K35" s="30" t="s">
        <v>2018</v>
      </c>
      <c r="L35" s="30" t="s">
        <v>2017</v>
      </c>
      <c r="M35" s="30" t="s">
        <v>2018</v>
      </c>
      <c r="N35" s="30" t="s">
        <v>2018</v>
      </c>
      <c r="O35" s="30" t="s">
        <v>2015</v>
      </c>
      <c r="P35" s="32">
        <v>3447</v>
      </c>
      <c r="Q35" s="32">
        <v>1921</v>
      </c>
      <c r="R35" s="32">
        <v>409</v>
      </c>
      <c r="S35" s="32">
        <v>241</v>
      </c>
      <c r="T35" s="32">
        <v>100</v>
      </c>
      <c r="U35" s="32">
        <v>462</v>
      </c>
      <c r="V35" s="32">
        <v>361</v>
      </c>
      <c r="W35" s="32">
        <v>211</v>
      </c>
      <c r="X35" s="32">
        <v>871</v>
      </c>
      <c r="Y35" s="32">
        <v>602</v>
      </c>
      <c r="Z35" s="32">
        <v>311</v>
      </c>
      <c r="AA35" s="32">
        <v>1204</v>
      </c>
      <c r="AB35" s="32">
        <v>712</v>
      </c>
      <c r="AC35" s="32">
        <v>296</v>
      </c>
      <c r="AD35" s="32">
        <v>530</v>
      </c>
      <c r="AE35" s="32">
        <v>410</v>
      </c>
      <c r="AF35" s="32">
        <v>240</v>
      </c>
      <c r="AG35" s="32">
        <v>1734</v>
      </c>
      <c r="AH35" s="32">
        <v>1122</v>
      </c>
      <c r="AI35" s="32">
        <v>536</v>
      </c>
      <c r="AJ35" s="32">
        <v>1734</v>
      </c>
      <c r="AK35" s="32">
        <v>3324</v>
      </c>
      <c r="AL35" s="32">
        <v>52.2</v>
      </c>
    </row>
    <row r="36" spans="1:38" ht="13.5" hidden="1" customHeight="1">
      <c r="A36" s="30" t="s">
        <v>1981</v>
      </c>
      <c r="B36" s="30" t="s">
        <v>2052</v>
      </c>
      <c r="C36" s="30" t="s">
        <v>235</v>
      </c>
      <c r="D36" s="30" t="s">
        <v>2012</v>
      </c>
      <c r="E36" s="30" t="s">
        <v>2015</v>
      </c>
      <c r="F36" s="30" t="s">
        <v>2015</v>
      </c>
      <c r="G36" s="30"/>
      <c r="H36" s="30" t="s">
        <v>2015</v>
      </c>
      <c r="I36" s="30" t="s">
        <v>2087</v>
      </c>
      <c r="J36" s="30" t="s">
        <v>2088</v>
      </c>
      <c r="K36" s="30" t="s">
        <v>2018</v>
      </c>
      <c r="L36" s="30" t="s">
        <v>2017</v>
      </c>
      <c r="M36" s="30" t="s">
        <v>2018</v>
      </c>
      <c r="N36" s="30" t="s">
        <v>2018</v>
      </c>
      <c r="O36" s="30" t="s">
        <v>2015</v>
      </c>
      <c r="P36" s="32">
        <v>3934</v>
      </c>
      <c r="Q36" s="32">
        <v>2108</v>
      </c>
      <c r="R36" s="32">
        <v>307</v>
      </c>
      <c r="S36" s="32">
        <v>136</v>
      </c>
      <c r="T36" s="32">
        <v>58</v>
      </c>
      <c r="U36" s="32">
        <v>437</v>
      </c>
      <c r="V36" s="32">
        <v>327</v>
      </c>
      <c r="W36" s="32">
        <v>185</v>
      </c>
      <c r="X36" s="32">
        <v>744</v>
      </c>
      <c r="Y36" s="32">
        <v>463</v>
      </c>
      <c r="Z36" s="32">
        <v>243</v>
      </c>
      <c r="AA36" s="32">
        <v>850</v>
      </c>
      <c r="AB36" s="32">
        <v>378</v>
      </c>
      <c r="AC36" s="32">
        <v>161</v>
      </c>
      <c r="AD36" s="32">
        <v>483</v>
      </c>
      <c r="AE36" s="32">
        <v>363</v>
      </c>
      <c r="AF36" s="32">
        <v>208</v>
      </c>
      <c r="AG36" s="32">
        <v>1333</v>
      </c>
      <c r="AH36" s="32">
        <v>741</v>
      </c>
      <c r="AI36" s="32">
        <v>369</v>
      </c>
      <c r="AJ36" s="32">
        <v>1333</v>
      </c>
      <c r="AK36" s="32">
        <v>3863</v>
      </c>
      <c r="AL36" s="32">
        <v>34.5</v>
      </c>
    </row>
    <row r="37" spans="1:38" ht="13.5" hidden="1" customHeight="1">
      <c r="A37" s="30" t="s">
        <v>1981</v>
      </c>
      <c r="B37" s="30" t="s">
        <v>2052</v>
      </c>
      <c r="C37" s="30" t="s">
        <v>235</v>
      </c>
      <c r="D37" s="30" t="s">
        <v>2012</v>
      </c>
      <c r="E37" s="30" t="s">
        <v>2015</v>
      </c>
      <c r="F37" s="30" t="s">
        <v>2015</v>
      </c>
      <c r="G37" s="30"/>
      <c r="H37" s="30" t="s">
        <v>2015</v>
      </c>
      <c r="I37" s="30" t="s">
        <v>2089</v>
      </c>
      <c r="J37" s="30" t="s">
        <v>2090</v>
      </c>
      <c r="K37" s="30" t="s">
        <v>2065</v>
      </c>
      <c r="L37" s="30" t="s">
        <v>2066</v>
      </c>
      <c r="M37" s="30" t="s">
        <v>2067</v>
      </c>
      <c r="N37" s="30" t="s">
        <v>2067</v>
      </c>
      <c r="O37" s="30" t="s">
        <v>2068</v>
      </c>
      <c r="P37" s="32">
        <v>2997</v>
      </c>
      <c r="Q37" s="32">
        <v>3424</v>
      </c>
      <c r="R37" s="32">
        <v>327</v>
      </c>
      <c r="S37" s="32">
        <v>135</v>
      </c>
      <c r="T37" s="32">
        <v>21</v>
      </c>
      <c r="U37" s="32">
        <v>256</v>
      </c>
      <c r="V37" s="32">
        <v>175</v>
      </c>
      <c r="W37" s="32">
        <v>95</v>
      </c>
      <c r="X37" s="32">
        <v>583</v>
      </c>
      <c r="Y37" s="32">
        <v>310</v>
      </c>
      <c r="Z37" s="32">
        <v>116</v>
      </c>
      <c r="AA37" s="32">
        <v>929</v>
      </c>
      <c r="AB37" s="32">
        <v>380</v>
      </c>
      <c r="AC37" s="32">
        <v>64</v>
      </c>
      <c r="AD37" s="32">
        <v>288</v>
      </c>
      <c r="AE37" s="32">
        <v>196</v>
      </c>
      <c r="AF37" s="32">
        <v>106</v>
      </c>
      <c r="AG37" s="32">
        <v>1217</v>
      </c>
      <c r="AH37" s="32">
        <v>576</v>
      </c>
      <c r="AI37" s="32">
        <v>170</v>
      </c>
      <c r="AJ37" s="32">
        <v>1217</v>
      </c>
      <c r="AK37" s="32">
        <v>2827</v>
      </c>
      <c r="AL37" s="32">
        <v>43</v>
      </c>
    </row>
    <row r="38" spans="1:38" ht="13.5" hidden="1" customHeight="1">
      <c r="A38" s="30" t="s">
        <v>1981</v>
      </c>
      <c r="B38" s="30" t="s">
        <v>2052</v>
      </c>
      <c r="C38" s="30" t="s">
        <v>235</v>
      </c>
      <c r="D38" s="30" t="s">
        <v>2012</v>
      </c>
      <c r="E38" s="30" t="s">
        <v>2015</v>
      </c>
      <c r="F38" s="30" t="s">
        <v>2015</v>
      </c>
      <c r="G38" s="30"/>
      <c r="H38" s="30" t="s">
        <v>2015</v>
      </c>
      <c r="I38" s="30" t="s">
        <v>2091</v>
      </c>
      <c r="J38" s="30" t="s">
        <v>2092</v>
      </c>
      <c r="K38" s="30" t="s">
        <v>2018</v>
      </c>
      <c r="L38" s="30" t="s">
        <v>2017</v>
      </c>
      <c r="M38" s="30" t="s">
        <v>2018</v>
      </c>
      <c r="N38" s="30" t="s">
        <v>2018</v>
      </c>
      <c r="O38" s="30" t="s">
        <v>2015</v>
      </c>
      <c r="P38" s="32">
        <v>8312</v>
      </c>
      <c r="Q38" s="32">
        <v>3858</v>
      </c>
      <c r="R38" s="32">
        <v>912</v>
      </c>
      <c r="S38" s="32">
        <v>502</v>
      </c>
      <c r="T38" s="32">
        <v>204</v>
      </c>
      <c r="U38" s="32">
        <v>877</v>
      </c>
      <c r="V38" s="32">
        <v>617</v>
      </c>
      <c r="W38" s="32">
        <v>357</v>
      </c>
      <c r="X38" s="32">
        <v>1789</v>
      </c>
      <c r="Y38" s="32">
        <v>1119</v>
      </c>
      <c r="Z38" s="32">
        <v>561</v>
      </c>
      <c r="AA38" s="32">
        <v>2650</v>
      </c>
      <c r="AB38" s="32">
        <v>1461</v>
      </c>
      <c r="AC38" s="32">
        <v>591</v>
      </c>
      <c r="AD38" s="32">
        <v>984</v>
      </c>
      <c r="AE38" s="32">
        <v>686</v>
      </c>
      <c r="AF38" s="32">
        <v>395</v>
      </c>
      <c r="AG38" s="32">
        <v>3634</v>
      </c>
      <c r="AH38" s="32">
        <v>2147</v>
      </c>
      <c r="AI38" s="32">
        <v>986</v>
      </c>
      <c r="AJ38" s="32">
        <v>3634</v>
      </c>
      <c r="AK38" s="32">
        <v>8145</v>
      </c>
      <c r="AL38" s="32">
        <v>44.6</v>
      </c>
    </row>
    <row r="39" spans="1:38" ht="13.5" hidden="1" customHeight="1">
      <c r="A39" s="30" t="s">
        <v>1981</v>
      </c>
      <c r="B39" s="30" t="s">
        <v>2052</v>
      </c>
      <c r="C39" s="30" t="s">
        <v>235</v>
      </c>
      <c r="D39" s="30" t="s">
        <v>2012</v>
      </c>
      <c r="E39" s="30" t="s">
        <v>2015</v>
      </c>
      <c r="F39" s="30" t="s">
        <v>2015</v>
      </c>
      <c r="G39" s="30"/>
      <c r="H39" s="30" t="s">
        <v>2015</v>
      </c>
      <c r="I39" s="30" t="s">
        <v>2093</v>
      </c>
      <c r="J39" s="30" t="s">
        <v>2094</v>
      </c>
      <c r="K39" s="30" t="s">
        <v>2018</v>
      </c>
      <c r="L39" s="30" t="s">
        <v>2017</v>
      </c>
      <c r="M39" s="30" t="s">
        <v>2018</v>
      </c>
      <c r="N39" s="30" t="s">
        <v>2018</v>
      </c>
      <c r="O39" s="30" t="s">
        <v>2015</v>
      </c>
      <c r="P39" s="32">
        <v>1399</v>
      </c>
      <c r="Q39" s="32">
        <v>688</v>
      </c>
      <c r="R39" s="32">
        <v>178</v>
      </c>
      <c r="S39" s="32">
        <v>76</v>
      </c>
      <c r="T39" s="32">
        <v>30</v>
      </c>
      <c r="U39" s="32">
        <v>110</v>
      </c>
      <c r="V39" s="32">
        <v>77</v>
      </c>
      <c r="W39" s="32">
        <v>52</v>
      </c>
      <c r="X39" s="32">
        <v>288</v>
      </c>
      <c r="Y39" s="32">
        <v>153</v>
      </c>
      <c r="Z39" s="32">
        <v>82</v>
      </c>
      <c r="AA39" s="32">
        <v>486</v>
      </c>
      <c r="AB39" s="32">
        <v>198</v>
      </c>
      <c r="AC39" s="32">
        <v>78</v>
      </c>
      <c r="AD39" s="32">
        <v>124</v>
      </c>
      <c r="AE39" s="32">
        <v>83</v>
      </c>
      <c r="AF39" s="32">
        <v>56</v>
      </c>
      <c r="AG39" s="32">
        <v>610</v>
      </c>
      <c r="AH39" s="32">
        <v>281</v>
      </c>
      <c r="AI39" s="32">
        <v>134</v>
      </c>
      <c r="AJ39" s="32">
        <v>610</v>
      </c>
      <c r="AK39" s="32">
        <v>1413</v>
      </c>
      <c r="AL39" s="32">
        <v>43.2</v>
      </c>
    </row>
    <row r="40" spans="1:38" ht="13.5" hidden="1" customHeight="1">
      <c r="A40" s="30" t="s">
        <v>1981</v>
      </c>
      <c r="B40" s="30" t="s">
        <v>2052</v>
      </c>
      <c r="C40" s="30" t="s">
        <v>235</v>
      </c>
      <c r="D40" s="30" t="s">
        <v>2012</v>
      </c>
      <c r="E40" s="30" t="s">
        <v>2015</v>
      </c>
      <c r="F40" s="30" t="s">
        <v>2015</v>
      </c>
      <c r="G40" s="30"/>
      <c r="H40" s="30" t="s">
        <v>2015</v>
      </c>
      <c r="I40" s="30" t="s">
        <v>2095</v>
      </c>
      <c r="J40" s="30" t="s">
        <v>2096</v>
      </c>
      <c r="K40" s="30" t="s">
        <v>2018</v>
      </c>
      <c r="L40" s="30" t="s">
        <v>2017</v>
      </c>
      <c r="M40" s="30" t="s">
        <v>2018</v>
      </c>
      <c r="N40" s="30" t="s">
        <v>2018</v>
      </c>
      <c r="O40" s="30" t="s">
        <v>2015</v>
      </c>
      <c r="P40" s="32">
        <v>1305</v>
      </c>
      <c r="Q40" s="32">
        <v>583</v>
      </c>
      <c r="R40" s="32">
        <v>192</v>
      </c>
      <c r="S40" s="32">
        <v>113</v>
      </c>
      <c r="T40" s="32">
        <v>48</v>
      </c>
      <c r="U40" s="32">
        <v>99</v>
      </c>
      <c r="V40" s="32">
        <v>61</v>
      </c>
      <c r="W40" s="32">
        <v>21</v>
      </c>
      <c r="X40" s="32">
        <v>291</v>
      </c>
      <c r="Y40" s="32">
        <v>174</v>
      </c>
      <c r="Z40" s="32">
        <v>69</v>
      </c>
      <c r="AA40" s="32">
        <v>542</v>
      </c>
      <c r="AB40" s="32">
        <v>317</v>
      </c>
      <c r="AC40" s="32">
        <v>138</v>
      </c>
      <c r="AD40" s="32">
        <v>119</v>
      </c>
      <c r="AE40" s="32">
        <v>73</v>
      </c>
      <c r="AF40" s="32">
        <v>25</v>
      </c>
      <c r="AG40" s="32">
        <v>661</v>
      </c>
      <c r="AH40" s="32">
        <v>390</v>
      </c>
      <c r="AI40" s="32">
        <v>163</v>
      </c>
      <c r="AJ40" s="32">
        <v>661</v>
      </c>
      <c r="AK40" s="32">
        <v>1282</v>
      </c>
      <c r="AL40" s="32">
        <v>51.6</v>
      </c>
    </row>
    <row r="41" spans="1:38" ht="13.5" hidden="1" customHeight="1">
      <c r="A41" s="30" t="s">
        <v>1981</v>
      </c>
      <c r="B41" s="30" t="s">
        <v>2052</v>
      </c>
      <c r="C41" s="30" t="s">
        <v>235</v>
      </c>
      <c r="D41" s="30" t="s">
        <v>2012</v>
      </c>
      <c r="E41" s="30" t="s">
        <v>2015</v>
      </c>
      <c r="F41" s="30" t="s">
        <v>2015</v>
      </c>
      <c r="G41" s="30"/>
      <c r="H41" s="30" t="s">
        <v>2015</v>
      </c>
      <c r="I41" s="30" t="s">
        <v>2097</v>
      </c>
      <c r="J41" s="30" t="s">
        <v>2098</v>
      </c>
      <c r="K41" s="30" t="s">
        <v>2099</v>
      </c>
      <c r="L41" s="30" t="s">
        <v>2017</v>
      </c>
      <c r="M41" s="30" t="s">
        <v>2018</v>
      </c>
      <c r="N41" s="30" t="s">
        <v>2099</v>
      </c>
      <c r="O41" s="30" t="s">
        <v>2100</v>
      </c>
      <c r="P41" s="32">
        <v>2596</v>
      </c>
      <c r="Q41" s="32">
        <v>904</v>
      </c>
      <c r="R41" s="32">
        <v>158</v>
      </c>
      <c r="S41" s="32">
        <v>59</v>
      </c>
      <c r="T41" s="32">
        <v>29</v>
      </c>
      <c r="U41" s="32">
        <v>89</v>
      </c>
      <c r="V41" s="32">
        <v>61</v>
      </c>
      <c r="W41" s="32">
        <v>15</v>
      </c>
      <c r="X41" s="32">
        <v>247</v>
      </c>
      <c r="Y41" s="32">
        <v>120</v>
      </c>
      <c r="Z41" s="32">
        <v>44</v>
      </c>
      <c r="AA41" s="32">
        <v>499</v>
      </c>
      <c r="AB41" s="32">
        <v>185</v>
      </c>
      <c r="AC41" s="32">
        <v>95</v>
      </c>
      <c r="AD41" s="32">
        <v>102</v>
      </c>
      <c r="AE41" s="32">
        <v>69</v>
      </c>
      <c r="AF41" s="32">
        <v>16</v>
      </c>
      <c r="AG41" s="32">
        <v>601</v>
      </c>
      <c r="AH41" s="32">
        <v>254</v>
      </c>
      <c r="AI41" s="32">
        <v>111</v>
      </c>
      <c r="AJ41" s="32">
        <v>601</v>
      </c>
      <c r="AK41" s="32">
        <v>2599</v>
      </c>
      <c r="AL41" s="32">
        <v>23.1</v>
      </c>
    </row>
    <row r="42" spans="1:38" ht="13.5" hidden="1" customHeight="1">
      <c r="A42" s="30" t="s">
        <v>1981</v>
      </c>
      <c r="B42" s="30" t="s">
        <v>2052</v>
      </c>
      <c r="C42" s="30" t="s">
        <v>235</v>
      </c>
      <c r="D42" s="30" t="s">
        <v>2012</v>
      </c>
      <c r="E42" s="30" t="s">
        <v>2015</v>
      </c>
      <c r="F42" s="30" t="s">
        <v>2015</v>
      </c>
      <c r="G42" s="30"/>
      <c r="H42" s="30" t="s">
        <v>2015</v>
      </c>
      <c r="I42" s="30" t="s">
        <v>2101</v>
      </c>
      <c r="J42" s="30" t="s">
        <v>2102</v>
      </c>
      <c r="K42" s="30" t="s">
        <v>2018</v>
      </c>
      <c r="L42" s="30" t="s">
        <v>2017</v>
      </c>
      <c r="M42" s="30" t="s">
        <v>2018</v>
      </c>
      <c r="N42" s="30" t="s">
        <v>2018</v>
      </c>
      <c r="O42" s="30" t="s">
        <v>2015</v>
      </c>
      <c r="P42" s="32">
        <v>1751</v>
      </c>
      <c r="Q42" s="32">
        <v>938</v>
      </c>
      <c r="R42" s="32">
        <v>146</v>
      </c>
      <c r="S42" s="32">
        <v>68</v>
      </c>
      <c r="T42" s="32">
        <v>26</v>
      </c>
      <c r="U42" s="32">
        <v>219</v>
      </c>
      <c r="V42" s="32">
        <v>137</v>
      </c>
      <c r="W42" s="32">
        <v>74</v>
      </c>
      <c r="X42" s="32">
        <v>365</v>
      </c>
      <c r="Y42" s="32">
        <v>205</v>
      </c>
      <c r="Z42" s="32">
        <v>100</v>
      </c>
      <c r="AA42" s="32">
        <v>384</v>
      </c>
      <c r="AB42" s="32">
        <v>176</v>
      </c>
      <c r="AC42" s="32">
        <v>68</v>
      </c>
      <c r="AD42" s="32">
        <v>240</v>
      </c>
      <c r="AE42" s="32">
        <v>149</v>
      </c>
      <c r="AF42" s="32">
        <v>82</v>
      </c>
      <c r="AG42" s="32">
        <v>624</v>
      </c>
      <c r="AH42" s="32">
        <v>325</v>
      </c>
      <c r="AI42" s="32">
        <v>150</v>
      </c>
      <c r="AJ42" s="32">
        <v>624</v>
      </c>
      <c r="AK42" s="32">
        <v>1669</v>
      </c>
      <c r="AL42" s="32">
        <v>37.4</v>
      </c>
    </row>
    <row r="43" spans="1:38" ht="13.5" hidden="1" customHeight="1">
      <c r="A43" s="30" t="s">
        <v>1981</v>
      </c>
      <c r="B43" s="30" t="s">
        <v>2052</v>
      </c>
      <c r="C43" s="30" t="s">
        <v>235</v>
      </c>
      <c r="D43" s="30" t="s">
        <v>2012</v>
      </c>
      <c r="E43" s="30" t="s">
        <v>2015</v>
      </c>
      <c r="F43" s="30" t="s">
        <v>2015</v>
      </c>
      <c r="G43" s="30"/>
      <c r="H43" s="30" t="s">
        <v>2015</v>
      </c>
      <c r="I43" s="30" t="s">
        <v>2103</v>
      </c>
      <c r="J43" s="30" t="s">
        <v>2104</v>
      </c>
      <c r="K43" s="30" t="s">
        <v>2018</v>
      </c>
      <c r="L43" s="30" t="s">
        <v>2017</v>
      </c>
      <c r="M43" s="30" t="s">
        <v>2018</v>
      </c>
      <c r="N43" s="30" t="s">
        <v>2018</v>
      </c>
      <c r="O43" s="30" t="s">
        <v>2015</v>
      </c>
      <c r="P43" s="32">
        <v>2201</v>
      </c>
      <c r="Q43" s="32">
        <v>1151</v>
      </c>
      <c r="R43" s="32">
        <v>307</v>
      </c>
      <c r="S43" s="32">
        <v>197</v>
      </c>
      <c r="T43" s="32">
        <v>86</v>
      </c>
      <c r="U43" s="32">
        <v>234</v>
      </c>
      <c r="V43" s="32">
        <v>194</v>
      </c>
      <c r="W43" s="32">
        <v>114</v>
      </c>
      <c r="X43" s="32">
        <v>541</v>
      </c>
      <c r="Y43" s="32">
        <v>391</v>
      </c>
      <c r="Z43" s="32">
        <v>200</v>
      </c>
      <c r="AA43" s="32">
        <v>882</v>
      </c>
      <c r="AB43" s="32">
        <v>569</v>
      </c>
      <c r="AC43" s="32">
        <v>250</v>
      </c>
      <c r="AD43" s="32">
        <v>245</v>
      </c>
      <c r="AE43" s="32">
        <v>202</v>
      </c>
      <c r="AF43" s="32">
        <v>119</v>
      </c>
      <c r="AG43" s="32">
        <v>1127</v>
      </c>
      <c r="AH43" s="32">
        <v>771</v>
      </c>
      <c r="AI43" s="32">
        <v>369</v>
      </c>
      <c r="AJ43" s="32">
        <v>1127</v>
      </c>
      <c r="AK43" s="32">
        <v>2142</v>
      </c>
      <c r="AL43" s="32">
        <v>52.6</v>
      </c>
    </row>
    <row r="44" spans="1:38" ht="13.5" hidden="1" customHeight="1">
      <c r="A44" s="30" t="s">
        <v>1981</v>
      </c>
      <c r="B44" s="30" t="s">
        <v>2052</v>
      </c>
      <c r="C44" s="30" t="s">
        <v>235</v>
      </c>
      <c r="D44" s="30" t="s">
        <v>2012</v>
      </c>
      <c r="E44" s="30" t="s">
        <v>2015</v>
      </c>
      <c r="F44" s="30" t="s">
        <v>2015</v>
      </c>
      <c r="G44" s="30"/>
      <c r="H44" s="30" t="s">
        <v>2015</v>
      </c>
      <c r="I44" s="30" t="s">
        <v>2105</v>
      </c>
      <c r="J44" s="30" t="s">
        <v>2106</v>
      </c>
      <c r="K44" s="30" t="s">
        <v>2018</v>
      </c>
      <c r="L44" s="30" t="s">
        <v>2017</v>
      </c>
      <c r="M44" s="30" t="s">
        <v>2018</v>
      </c>
      <c r="N44" s="30" t="s">
        <v>2018</v>
      </c>
      <c r="O44" s="30" t="s">
        <v>2015</v>
      </c>
      <c r="P44" s="32">
        <v>1137</v>
      </c>
      <c r="Q44" s="32">
        <v>540</v>
      </c>
      <c r="R44" s="32">
        <v>98</v>
      </c>
      <c r="S44" s="32">
        <v>48</v>
      </c>
      <c r="T44" s="32">
        <v>15</v>
      </c>
      <c r="U44" s="32">
        <v>102</v>
      </c>
      <c r="V44" s="32">
        <v>63</v>
      </c>
      <c r="W44" s="32">
        <v>35</v>
      </c>
      <c r="X44" s="32">
        <v>200</v>
      </c>
      <c r="Y44" s="32">
        <v>111</v>
      </c>
      <c r="Z44" s="32">
        <v>50</v>
      </c>
      <c r="AA44" s="32">
        <v>287</v>
      </c>
      <c r="AB44" s="32">
        <v>143</v>
      </c>
      <c r="AC44" s="32">
        <v>44</v>
      </c>
      <c r="AD44" s="32">
        <v>107</v>
      </c>
      <c r="AE44" s="32">
        <v>65</v>
      </c>
      <c r="AF44" s="32">
        <v>36</v>
      </c>
      <c r="AG44" s="32">
        <v>394</v>
      </c>
      <c r="AH44" s="32">
        <v>208</v>
      </c>
      <c r="AI44" s="32">
        <v>80</v>
      </c>
      <c r="AJ44" s="32">
        <v>394</v>
      </c>
      <c r="AK44" s="32">
        <v>1207</v>
      </c>
      <c r="AL44" s="32">
        <v>32.6</v>
      </c>
    </row>
    <row r="45" spans="1:38" ht="13.5" hidden="1" customHeight="1">
      <c r="A45" s="30" t="s">
        <v>1981</v>
      </c>
      <c r="B45" s="30" t="s">
        <v>2052</v>
      </c>
      <c r="C45" s="30" t="s">
        <v>235</v>
      </c>
      <c r="D45" s="30" t="s">
        <v>2012</v>
      </c>
      <c r="E45" s="30" t="s">
        <v>2015</v>
      </c>
      <c r="F45" s="30" t="s">
        <v>2015</v>
      </c>
      <c r="G45" s="30"/>
      <c r="H45" s="30" t="s">
        <v>2015</v>
      </c>
      <c r="I45" s="30" t="s">
        <v>2107</v>
      </c>
      <c r="J45" s="30" t="s">
        <v>2108</v>
      </c>
      <c r="K45" s="30" t="s">
        <v>2018</v>
      </c>
      <c r="L45" s="30" t="s">
        <v>2017</v>
      </c>
      <c r="M45" s="30" t="s">
        <v>2018</v>
      </c>
      <c r="N45" s="30" t="s">
        <v>2018</v>
      </c>
      <c r="O45" s="30" t="s">
        <v>2015</v>
      </c>
      <c r="P45" s="32">
        <v>2592</v>
      </c>
      <c r="Q45" s="32">
        <v>1256</v>
      </c>
      <c r="R45" s="32">
        <v>267</v>
      </c>
      <c r="S45" s="32">
        <v>121</v>
      </c>
      <c r="T45" s="32">
        <v>41</v>
      </c>
      <c r="U45" s="32">
        <v>298</v>
      </c>
      <c r="V45" s="32">
        <v>203</v>
      </c>
      <c r="W45" s="32">
        <v>111</v>
      </c>
      <c r="X45" s="32">
        <v>565</v>
      </c>
      <c r="Y45" s="32">
        <v>324</v>
      </c>
      <c r="Z45" s="32">
        <v>152</v>
      </c>
      <c r="AA45" s="32">
        <v>734</v>
      </c>
      <c r="AB45" s="32">
        <v>324</v>
      </c>
      <c r="AC45" s="32">
        <v>107</v>
      </c>
      <c r="AD45" s="32">
        <v>343</v>
      </c>
      <c r="AE45" s="32">
        <v>233</v>
      </c>
      <c r="AF45" s="32">
        <v>128</v>
      </c>
      <c r="AG45" s="32">
        <v>1077</v>
      </c>
      <c r="AH45" s="32">
        <v>557</v>
      </c>
      <c r="AI45" s="32">
        <v>235</v>
      </c>
      <c r="AJ45" s="32">
        <v>1077</v>
      </c>
      <c r="AK45" s="32">
        <v>2394</v>
      </c>
      <c r="AL45" s="32">
        <v>45</v>
      </c>
    </row>
    <row r="46" spans="1:38" ht="13.5" hidden="1" customHeight="1">
      <c r="A46" s="30" t="s">
        <v>1981</v>
      </c>
      <c r="B46" s="30" t="s">
        <v>2052</v>
      </c>
      <c r="C46" s="30" t="s">
        <v>235</v>
      </c>
      <c r="D46" s="30" t="s">
        <v>2012</v>
      </c>
      <c r="E46" s="30" t="s">
        <v>2015</v>
      </c>
      <c r="F46" s="30" t="s">
        <v>2015</v>
      </c>
      <c r="G46" s="30"/>
      <c r="H46" s="30" t="s">
        <v>2015</v>
      </c>
      <c r="I46" s="30" t="s">
        <v>2109</v>
      </c>
      <c r="J46" s="30" t="s">
        <v>2110</v>
      </c>
      <c r="K46" s="30" t="s">
        <v>2018</v>
      </c>
      <c r="L46" s="30" t="s">
        <v>2017</v>
      </c>
      <c r="M46" s="30" t="s">
        <v>2018</v>
      </c>
      <c r="N46" s="30" t="s">
        <v>2018</v>
      </c>
      <c r="O46" s="30" t="s">
        <v>2015</v>
      </c>
      <c r="P46" s="32">
        <v>1701</v>
      </c>
      <c r="Q46" s="32">
        <v>829</v>
      </c>
      <c r="R46" s="32">
        <v>216</v>
      </c>
      <c r="S46" s="32">
        <v>91</v>
      </c>
      <c r="T46" s="32">
        <v>55</v>
      </c>
      <c r="U46" s="32">
        <v>141</v>
      </c>
      <c r="V46" s="32">
        <v>115</v>
      </c>
      <c r="W46" s="32">
        <v>62</v>
      </c>
      <c r="X46" s="32">
        <v>357</v>
      </c>
      <c r="Y46" s="32">
        <v>206</v>
      </c>
      <c r="Z46" s="32">
        <v>117</v>
      </c>
      <c r="AA46" s="32">
        <v>606</v>
      </c>
      <c r="AB46" s="32">
        <v>258</v>
      </c>
      <c r="AC46" s="32">
        <v>156</v>
      </c>
      <c r="AD46" s="32">
        <v>144</v>
      </c>
      <c r="AE46" s="32">
        <v>118</v>
      </c>
      <c r="AF46" s="32">
        <v>64</v>
      </c>
      <c r="AG46" s="32">
        <v>750</v>
      </c>
      <c r="AH46" s="32">
        <v>376</v>
      </c>
      <c r="AI46" s="32">
        <v>220</v>
      </c>
      <c r="AJ46" s="32">
        <v>750</v>
      </c>
      <c r="AK46" s="32">
        <v>1701</v>
      </c>
      <c r="AL46" s="32">
        <v>44.1</v>
      </c>
    </row>
    <row r="47" spans="1:38" ht="13.5" hidden="1" customHeight="1">
      <c r="A47" s="30" t="s">
        <v>1981</v>
      </c>
      <c r="B47" s="30" t="s">
        <v>2052</v>
      </c>
      <c r="C47" s="30" t="s">
        <v>235</v>
      </c>
      <c r="D47" s="30" t="s">
        <v>2012</v>
      </c>
      <c r="E47" s="30" t="s">
        <v>2015</v>
      </c>
      <c r="F47" s="30" t="s">
        <v>2015</v>
      </c>
      <c r="G47" s="30"/>
      <c r="H47" s="30" t="s">
        <v>2015</v>
      </c>
      <c r="I47" s="30" t="s">
        <v>2111</v>
      </c>
      <c r="J47" s="30" t="s">
        <v>2112</v>
      </c>
      <c r="K47" s="30" t="s">
        <v>2018</v>
      </c>
      <c r="L47" s="30" t="s">
        <v>2017</v>
      </c>
      <c r="M47" s="30" t="s">
        <v>2018</v>
      </c>
      <c r="N47" s="30" t="s">
        <v>2018</v>
      </c>
      <c r="O47" s="30" t="s">
        <v>2015</v>
      </c>
      <c r="P47" s="32">
        <v>1640</v>
      </c>
      <c r="Q47" s="32">
        <v>1061</v>
      </c>
      <c r="R47" s="32">
        <v>216</v>
      </c>
      <c r="S47" s="32">
        <v>108</v>
      </c>
      <c r="T47" s="32">
        <v>44</v>
      </c>
      <c r="U47" s="32">
        <v>230</v>
      </c>
      <c r="V47" s="32">
        <v>181</v>
      </c>
      <c r="W47" s="32">
        <v>102</v>
      </c>
      <c r="X47" s="32">
        <v>446</v>
      </c>
      <c r="Y47" s="32">
        <v>289</v>
      </c>
      <c r="Z47" s="32">
        <v>146</v>
      </c>
      <c r="AA47" s="32">
        <v>605</v>
      </c>
      <c r="AB47" s="32">
        <v>302</v>
      </c>
      <c r="AC47" s="32">
        <v>123</v>
      </c>
      <c r="AD47" s="32">
        <v>282</v>
      </c>
      <c r="AE47" s="32">
        <v>223</v>
      </c>
      <c r="AF47" s="32">
        <v>126</v>
      </c>
      <c r="AG47" s="32">
        <v>887</v>
      </c>
      <c r="AH47" s="32">
        <v>525</v>
      </c>
      <c r="AI47" s="32">
        <v>249</v>
      </c>
      <c r="AJ47" s="32">
        <v>887</v>
      </c>
      <c r="AK47" s="32">
        <v>1604</v>
      </c>
      <c r="AL47" s="32">
        <v>55.3</v>
      </c>
    </row>
    <row r="48" spans="1:38" ht="13.5" hidden="1" customHeight="1">
      <c r="A48" s="30" t="s">
        <v>1981</v>
      </c>
      <c r="B48" s="30" t="s">
        <v>2052</v>
      </c>
      <c r="C48" s="30" t="s">
        <v>235</v>
      </c>
      <c r="D48" s="30" t="s">
        <v>2012</v>
      </c>
      <c r="E48" s="30" t="s">
        <v>2015</v>
      </c>
      <c r="F48" s="30" t="s">
        <v>2015</v>
      </c>
      <c r="G48" s="30"/>
      <c r="H48" s="30" t="s">
        <v>2015</v>
      </c>
      <c r="I48" s="30" t="s">
        <v>2113</v>
      </c>
      <c r="J48" s="30" t="s">
        <v>2114</v>
      </c>
      <c r="K48" s="30" t="s">
        <v>2018</v>
      </c>
      <c r="L48" s="30" t="s">
        <v>2017</v>
      </c>
      <c r="M48" s="30" t="s">
        <v>2018</v>
      </c>
      <c r="N48" s="30" t="s">
        <v>2018</v>
      </c>
      <c r="O48" s="30" t="s">
        <v>2015</v>
      </c>
      <c r="P48" s="32">
        <v>6456</v>
      </c>
      <c r="Q48" s="32">
        <v>3442</v>
      </c>
      <c r="R48" s="32">
        <v>569</v>
      </c>
      <c r="S48" s="32">
        <v>270</v>
      </c>
      <c r="T48" s="32">
        <v>118</v>
      </c>
      <c r="U48" s="32">
        <v>676</v>
      </c>
      <c r="V48" s="32">
        <v>450</v>
      </c>
      <c r="W48" s="32">
        <v>219</v>
      </c>
      <c r="X48" s="32">
        <v>1245</v>
      </c>
      <c r="Y48" s="32">
        <v>720</v>
      </c>
      <c r="Z48" s="32">
        <v>337</v>
      </c>
      <c r="AA48" s="32">
        <v>1607</v>
      </c>
      <c r="AB48" s="32">
        <v>758</v>
      </c>
      <c r="AC48" s="32">
        <v>330</v>
      </c>
      <c r="AD48" s="32">
        <v>813</v>
      </c>
      <c r="AE48" s="32">
        <v>542</v>
      </c>
      <c r="AF48" s="32">
        <v>264</v>
      </c>
      <c r="AG48" s="32">
        <v>2420</v>
      </c>
      <c r="AH48" s="32">
        <v>1300</v>
      </c>
      <c r="AI48" s="32">
        <v>594</v>
      </c>
      <c r="AJ48" s="32">
        <v>2420</v>
      </c>
      <c r="AK48" s="32">
        <v>6220</v>
      </c>
      <c r="AL48" s="32">
        <v>38.9</v>
      </c>
    </row>
    <row r="49" spans="1:38" ht="13.5" hidden="1" customHeight="1">
      <c r="A49" s="30" t="s">
        <v>1981</v>
      </c>
      <c r="B49" s="30" t="s">
        <v>2052</v>
      </c>
      <c r="C49" s="30" t="s">
        <v>235</v>
      </c>
      <c r="D49" s="30" t="s">
        <v>2012</v>
      </c>
      <c r="E49" s="30" t="s">
        <v>2015</v>
      </c>
      <c r="F49" s="30" t="s">
        <v>2015</v>
      </c>
      <c r="G49" s="30"/>
      <c r="H49" s="30" t="s">
        <v>2015</v>
      </c>
      <c r="I49" s="30" t="s">
        <v>2115</v>
      </c>
      <c r="J49" s="30" t="s">
        <v>2116</v>
      </c>
      <c r="K49" s="30" t="s">
        <v>2018</v>
      </c>
      <c r="L49" s="30" t="s">
        <v>2017</v>
      </c>
      <c r="M49" s="30" t="s">
        <v>2018</v>
      </c>
      <c r="N49" s="30" t="s">
        <v>2018</v>
      </c>
      <c r="O49" s="30" t="s">
        <v>2015</v>
      </c>
      <c r="P49" s="32">
        <v>2569</v>
      </c>
      <c r="Q49" s="32">
        <v>1223</v>
      </c>
      <c r="R49" s="32">
        <v>222</v>
      </c>
      <c r="S49" s="32">
        <v>81</v>
      </c>
      <c r="T49" s="32">
        <v>31</v>
      </c>
      <c r="U49" s="32">
        <v>302</v>
      </c>
      <c r="V49" s="32">
        <v>250</v>
      </c>
      <c r="W49" s="32">
        <v>126</v>
      </c>
      <c r="X49" s="32">
        <v>524</v>
      </c>
      <c r="Y49" s="32">
        <v>331</v>
      </c>
      <c r="Z49" s="32">
        <v>157</v>
      </c>
      <c r="AA49" s="32">
        <v>687</v>
      </c>
      <c r="AB49" s="32">
        <v>253</v>
      </c>
      <c r="AC49" s="32">
        <v>95</v>
      </c>
      <c r="AD49" s="32">
        <v>346</v>
      </c>
      <c r="AE49" s="32">
        <v>286</v>
      </c>
      <c r="AF49" s="32">
        <v>145</v>
      </c>
      <c r="AG49" s="32">
        <v>1033</v>
      </c>
      <c r="AH49" s="32">
        <v>539</v>
      </c>
      <c r="AI49" s="32">
        <v>240</v>
      </c>
      <c r="AJ49" s="32">
        <v>1033</v>
      </c>
      <c r="AK49" s="32">
        <v>2470</v>
      </c>
      <c r="AL49" s="32">
        <v>41.8</v>
      </c>
    </row>
    <row r="50" spans="1:38" ht="13.5" hidden="1" customHeight="1">
      <c r="A50" s="30" t="s">
        <v>1981</v>
      </c>
      <c r="B50" s="30" t="s">
        <v>2052</v>
      </c>
      <c r="C50" s="30" t="s">
        <v>235</v>
      </c>
      <c r="D50" s="30" t="s">
        <v>2012</v>
      </c>
      <c r="E50" s="30" t="s">
        <v>2015</v>
      </c>
      <c r="F50" s="30" t="s">
        <v>2015</v>
      </c>
      <c r="G50" s="30"/>
      <c r="H50" s="30" t="s">
        <v>2015</v>
      </c>
      <c r="I50" s="30" t="s">
        <v>2117</v>
      </c>
      <c r="J50" s="30" t="s">
        <v>2118</v>
      </c>
      <c r="K50" s="30" t="s">
        <v>2099</v>
      </c>
      <c r="L50" s="30" t="s">
        <v>2017</v>
      </c>
      <c r="M50" s="30" t="s">
        <v>2018</v>
      </c>
      <c r="N50" s="30" t="s">
        <v>2099</v>
      </c>
      <c r="O50" s="30" t="s">
        <v>2100</v>
      </c>
      <c r="P50" s="32">
        <v>1964</v>
      </c>
      <c r="Q50" s="32">
        <v>794</v>
      </c>
      <c r="R50" s="32">
        <v>106</v>
      </c>
      <c r="S50" s="32">
        <v>28</v>
      </c>
      <c r="T50" s="32">
        <v>13</v>
      </c>
      <c r="U50" s="32">
        <v>104</v>
      </c>
      <c r="V50" s="32">
        <v>70</v>
      </c>
      <c r="W50" s="32">
        <v>45</v>
      </c>
      <c r="X50" s="32">
        <v>210</v>
      </c>
      <c r="Y50" s="32">
        <v>98</v>
      </c>
      <c r="Z50" s="32">
        <v>58</v>
      </c>
      <c r="AA50" s="32">
        <v>317</v>
      </c>
      <c r="AB50" s="32">
        <v>84</v>
      </c>
      <c r="AC50" s="32">
        <v>38</v>
      </c>
      <c r="AD50" s="32">
        <v>111</v>
      </c>
      <c r="AE50" s="32">
        <v>76</v>
      </c>
      <c r="AF50" s="32">
        <v>49</v>
      </c>
      <c r="AG50" s="32">
        <v>428</v>
      </c>
      <c r="AH50" s="32">
        <v>160</v>
      </c>
      <c r="AI50" s="32">
        <v>87</v>
      </c>
      <c r="AJ50" s="32">
        <v>428</v>
      </c>
      <c r="AK50" s="32">
        <v>1751</v>
      </c>
      <c r="AL50" s="32">
        <v>24.4</v>
      </c>
    </row>
    <row r="51" spans="1:38" ht="13.5" hidden="1" customHeight="1">
      <c r="A51" s="30" t="s">
        <v>1981</v>
      </c>
      <c r="B51" s="30" t="s">
        <v>2052</v>
      </c>
      <c r="C51" s="30" t="s">
        <v>235</v>
      </c>
      <c r="D51" s="30" t="s">
        <v>2012</v>
      </c>
      <c r="E51" s="30" t="s">
        <v>2015</v>
      </c>
      <c r="F51" s="30" t="s">
        <v>2015</v>
      </c>
      <c r="G51" s="30"/>
      <c r="H51" s="30" t="s">
        <v>2015</v>
      </c>
      <c r="I51" s="30" t="s">
        <v>2119</v>
      </c>
      <c r="J51" s="30" t="s">
        <v>2120</v>
      </c>
      <c r="K51" s="30" t="s">
        <v>2018</v>
      </c>
      <c r="L51" s="30" t="s">
        <v>2017</v>
      </c>
      <c r="M51" s="30" t="s">
        <v>2018</v>
      </c>
      <c r="N51" s="30" t="s">
        <v>2018</v>
      </c>
      <c r="O51" s="30" t="s">
        <v>2015</v>
      </c>
      <c r="P51" s="32">
        <v>1935</v>
      </c>
      <c r="Q51" s="32">
        <v>914</v>
      </c>
      <c r="R51" s="32">
        <v>206</v>
      </c>
      <c r="S51" s="32">
        <v>116</v>
      </c>
      <c r="T51" s="32">
        <v>56</v>
      </c>
      <c r="U51" s="32">
        <v>199</v>
      </c>
      <c r="V51" s="32">
        <v>128</v>
      </c>
      <c r="W51" s="32">
        <v>65</v>
      </c>
      <c r="X51" s="32">
        <v>405</v>
      </c>
      <c r="Y51" s="32">
        <v>244</v>
      </c>
      <c r="Z51" s="32">
        <v>121</v>
      </c>
      <c r="AA51" s="32">
        <v>586</v>
      </c>
      <c r="AB51" s="32">
        <v>331</v>
      </c>
      <c r="AC51" s="32">
        <v>160</v>
      </c>
      <c r="AD51" s="32">
        <v>228</v>
      </c>
      <c r="AE51" s="32">
        <v>145</v>
      </c>
      <c r="AF51" s="32">
        <v>73</v>
      </c>
      <c r="AG51" s="32">
        <v>814</v>
      </c>
      <c r="AH51" s="32">
        <v>476</v>
      </c>
      <c r="AI51" s="32">
        <v>233</v>
      </c>
      <c r="AJ51" s="32">
        <v>814</v>
      </c>
      <c r="AK51" s="32">
        <v>1874</v>
      </c>
      <c r="AL51" s="32">
        <v>43.4</v>
      </c>
    </row>
    <row r="52" spans="1:38" ht="13.5" hidden="1" customHeight="1">
      <c r="A52" s="30" t="s">
        <v>1981</v>
      </c>
      <c r="B52" s="30" t="s">
        <v>2052</v>
      </c>
      <c r="C52" s="30" t="s">
        <v>235</v>
      </c>
      <c r="D52" s="30" t="s">
        <v>2012</v>
      </c>
      <c r="E52" s="30" t="s">
        <v>2015</v>
      </c>
      <c r="F52" s="30" t="s">
        <v>2015</v>
      </c>
      <c r="G52" s="30"/>
      <c r="H52" s="30" t="s">
        <v>2015</v>
      </c>
      <c r="I52" s="30" t="s">
        <v>2121</v>
      </c>
      <c r="J52" s="30" t="s">
        <v>2122</v>
      </c>
      <c r="K52" s="30" t="s">
        <v>2018</v>
      </c>
      <c r="L52" s="30" t="s">
        <v>2017</v>
      </c>
      <c r="M52" s="30" t="s">
        <v>2018</v>
      </c>
      <c r="N52" s="30" t="s">
        <v>2018</v>
      </c>
      <c r="O52" s="30" t="s">
        <v>2015</v>
      </c>
      <c r="P52" s="32">
        <v>4098</v>
      </c>
      <c r="Q52" s="32">
        <v>1668</v>
      </c>
      <c r="R52" s="32">
        <v>357</v>
      </c>
      <c r="S52" s="32">
        <v>250</v>
      </c>
      <c r="T52" s="32">
        <v>182</v>
      </c>
      <c r="U52" s="32">
        <v>610</v>
      </c>
      <c r="V52" s="32">
        <v>461</v>
      </c>
      <c r="W52" s="32">
        <v>249</v>
      </c>
      <c r="X52" s="32">
        <v>967</v>
      </c>
      <c r="Y52" s="32">
        <v>711</v>
      </c>
      <c r="Z52" s="32">
        <v>431</v>
      </c>
      <c r="AA52" s="32">
        <v>985</v>
      </c>
      <c r="AB52" s="32">
        <v>677</v>
      </c>
      <c r="AC52" s="32">
        <v>486</v>
      </c>
      <c r="AD52" s="32">
        <v>870</v>
      </c>
      <c r="AE52" s="32">
        <v>653</v>
      </c>
      <c r="AF52" s="32">
        <v>353</v>
      </c>
      <c r="AG52" s="32">
        <v>1855</v>
      </c>
      <c r="AH52" s="32">
        <v>1330</v>
      </c>
      <c r="AI52" s="32">
        <v>839</v>
      </c>
      <c r="AJ52" s="32">
        <v>1855</v>
      </c>
      <c r="AK52" s="32">
        <v>3154</v>
      </c>
      <c r="AL52" s="32">
        <v>58.8</v>
      </c>
    </row>
    <row r="53" spans="1:38" ht="13.5" hidden="1" customHeight="1">
      <c r="A53" s="30" t="s">
        <v>1981</v>
      </c>
      <c r="B53" s="30" t="s">
        <v>2052</v>
      </c>
      <c r="C53" s="30" t="s">
        <v>235</v>
      </c>
      <c r="D53" s="30" t="s">
        <v>2012</v>
      </c>
      <c r="E53" s="30" t="s">
        <v>2015</v>
      </c>
      <c r="F53" s="30" t="s">
        <v>2015</v>
      </c>
      <c r="G53" s="30"/>
      <c r="H53" s="30" t="s">
        <v>2015</v>
      </c>
      <c r="I53" s="30" t="s">
        <v>2123</v>
      </c>
      <c r="J53" s="30" t="s">
        <v>2124</v>
      </c>
      <c r="K53" s="30" t="s">
        <v>2018</v>
      </c>
      <c r="L53" s="30" t="s">
        <v>2017</v>
      </c>
      <c r="M53" s="30" t="s">
        <v>2018</v>
      </c>
      <c r="N53" s="30" t="s">
        <v>2018</v>
      </c>
      <c r="O53" s="30" t="s">
        <v>2015</v>
      </c>
      <c r="P53" s="32">
        <v>1600</v>
      </c>
      <c r="Q53" s="32">
        <v>813</v>
      </c>
      <c r="R53" s="32">
        <v>175</v>
      </c>
      <c r="S53" s="32">
        <v>91</v>
      </c>
      <c r="T53" s="32">
        <v>32</v>
      </c>
      <c r="U53" s="32">
        <v>249</v>
      </c>
      <c r="V53" s="32">
        <v>208</v>
      </c>
      <c r="W53" s="32">
        <v>131</v>
      </c>
      <c r="X53" s="32">
        <v>424</v>
      </c>
      <c r="Y53" s="32">
        <v>299</v>
      </c>
      <c r="Z53" s="32">
        <v>163</v>
      </c>
      <c r="AA53" s="32">
        <v>520</v>
      </c>
      <c r="AB53" s="32">
        <v>271</v>
      </c>
      <c r="AC53" s="32">
        <v>96</v>
      </c>
      <c r="AD53" s="32">
        <v>279</v>
      </c>
      <c r="AE53" s="32">
        <v>232</v>
      </c>
      <c r="AF53" s="32">
        <v>145</v>
      </c>
      <c r="AG53" s="32">
        <v>799</v>
      </c>
      <c r="AH53" s="32">
        <v>503</v>
      </c>
      <c r="AI53" s="32">
        <v>241</v>
      </c>
      <c r="AJ53" s="32">
        <v>799</v>
      </c>
      <c r="AK53" s="32">
        <v>1590</v>
      </c>
      <c r="AL53" s="32">
        <v>50.3</v>
      </c>
    </row>
    <row r="54" spans="1:38" ht="13.5" hidden="1" customHeight="1">
      <c r="A54" s="30" t="s">
        <v>1981</v>
      </c>
      <c r="B54" s="30" t="s">
        <v>2052</v>
      </c>
      <c r="C54" s="30" t="s">
        <v>235</v>
      </c>
      <c r="D54" s="30" t="s">
        <v>2012</v>
      </c>
      <c r="E54" s="30" t="s">
        <v>2015</v>
      </c>
      <c r="F54" s="30" t="s">
        <v>2015</v>
      </c>
      <c r="G54" s="30"/>
      <c r="H54" s="30" t="s">
        <v>2015</v>
      </c>
      <c r="I54" s="30" t="s">
        <v>2125</v>
      </c>
      <c r="J54" s="30" t="s">
        <v>2126</v>
      </c>
      <c r="K54" s="30" t="s">
        <v>2018</v>
      </c>
      <c r="L54" s="30" t="s">
        <v>2017</v>
      </c>
      <c r="M54" s="30" t="s">
        <v>2018</v>
      </c>
      <c r="N54" s="30" t="s">
        <v>2018</v>
      </c>
      <c r="O54" s="30" t="s">
        <v>2015</v>
      </c>
      <c r="P54" s="32">
        <v>1978</v>
      </c>
      <c r="Q54" s="32">
        <v>940</v>
      </c>
      <c r="R54" s="32">
        <v>183</v>
      </c>
      <c r="S54" s="32">
        <v>88</v>
      </c>
      <c r="T54" s="32">
        <v>46</v>
      </c>
      <c r="U54" s="32">
        <v>372</v>
      </c>
      <c r="V54" s="32">
        <v>283</v>
      </c>
      <c r="W54" s="32">
        <v>182</v>
      </c>
      <c r="X54" s="32">
        <v>555</v>
      </c>
      <c r="Y54" s="32">
        <v>371</v>
      </c>
      <c r="Z54" s="32">
        <v>228</v>
      </c>
      <c r="AA54" s="32">
        <v>539</v>
      </c>
      <c r="AB54" s="32">
        <v>257</v>
      </c>
      <c r="AC54" s="32">
        <v>134</v>
      </c>
      <c r="AD54" s="32">
        <v>446</v>
      </c>
      <c r="AE54" s="32">
        <v>339</v>
      </c>
      <c r="AF54" s="32">
        <v>218</v>
      </c>
      <c r="AG54" s="32">
        <v>985</v>
      </c>
      <c r="AH54" s="32">
        <v>596</v>
      </c>
      <c r="AI54" s="32">
        <v>352</v>
      </c>
      <c r="AJ54" s="32">
        <v>985</v>
      </c>
      <c r="AK54" s="32">
        <v>1765</v>
      </c>
      <c r="AL54" s="32">
        <v>55.8</v>
      </c>
    </row>
    <row r="55" spans="1:38" ht="13.5" hidden="1" customHeight="1">
      <c r="A55" s="30" t="s">
        <v>1981</v>
      </c>
      <c r="B55" s="30" t="s">
        <v>2052</v>
      </c>
      <c r="C55" s="30" t="s">
        <v>235</v>
      </c>
      <c r="D55" s="30" t="s">
        <v>2012</v>
      </c>
      <c r="E55" s="30" t="s">
        <v>2015</v>
      </c>
      <c r="F55" s="30" t="s">
        <v>2015</v>
      </c>
      <c r="G55" s="30"/>
      <c r="H55" s="30" t="s">
        <v>2015</v>
      </c>
      <c r="I55" s="30" t="s">
        <v>2127</v>
      </c>
      <c r="J55" s="30" t="s">
        <v>2128</v>
      </c>
      <c r="K55" s="30" t="s">
        <v>2099</v>
      </c>
      <c r="L55" s="30" t="s">
        <v>2017</v>
      </c>
      <c r="M55" s="30" t="s">
        <v>2018</v>
      </c>
      <c r="N55" s="30" t="s">
        <v>2099</v>
      </c>
      <c r="O55" s="30" t="s">
        <v>2100</v>
      </c>
      <c r="P55" s="32">
        <v>1813</v>
      </c>
      <c r="Q55" s="32">
        <v>854</v>
      </c>
      <c r="R55" s="32">
        <v>159</v>
      </c>
      <c r="S55" s="32">
        <v>83</v>
      </c>
      <c r="T55" s="32">
        <v>54</v>
      </c>
      <c r="U55" s="32">
        <v>285</v>
      </c>
      <c r="V55" s="32">
        <v>218</v>
      </c>
      <c r="W55" s="32">
        <v>134</v>
      </c>
      <c r="X55" s="32">
        <v>444</v>
      </c>
      <c r="Y55" s="32">
        <v>301</v>
      </c>
      <c r="Z55" s="32">
        <v>188</v>
      </c>
      <c r="AA55" s="32">
        <v>467</v>
      </c>
      <c r="AB55" s="32">
        <v>242</v>
      </c>
      <c r="AC55" s="32">
        <v>156</v>
      </c>
      <c r="AD55" s="32">
        <v>328</v>
      </c>
      <c r="AE55" s="32">
        <v>249</v>
      </c>
      <c r="AF55" s="32">
        <v>154</v>
      </c>
      <c r="AG55" s="32">
        <v>795</v>
      </c>
      <c r="AH55" s="32">
        <v>491</v>
      </c>
      <c r="AI55" s="32">
        <v>310</v>
      </c>
      <c r="AJ55" s="32">
        <v>795</v>
      </c>
      <c r="AK55" s="32">
        <v>1637</v>
      </c>
      <c r="AL55" s="32">
        <v>48.6</v>
      </c>
    </row>
    <row r="56" spans="1:38" ht="13.5" hidden="1" customHeight="1">
      <c r="A56" s="30" t="s">
        <v>1981</v>
      </c>
      <c r="B56" s="30" t="s">
        <v>2052</v>
      </c>
      <c r="C56" s="30" t="s">
        <v>235</v>
      </c>
      <c r="D56" s="30" t="s">
        <v>2012</v>
      </c>
      <c r="E56" s="30" t="s">
        <v>2015</v>
      </c>
      <c r="F56" s="30" t="s">
        <v>2015</v>
      </c>
      <c r="G56" s="30"/>
      <c r="H56" s="30" t="s">
        <v>2015</v>
      </c>
      <c r="I56" s="30" t="s">
        <v>2129</v>
      </c>
      <c r="J56" s="30" t="s">
        <v>2130</v>
      </c>
      <c r="K56" s="30" t="s">
        <v>2018</v>
      </c>
      <c r="L56" s="30" t="s">
        <v>2017</v>
      </c>
      <c r="M56" s="30" t="s">
        <v>2018</v>
      </c>
      <c r="N56" s="30" t="s">
        <v>2018</v>
      </c>
      <c r="O56" s="30" t="s">
        <v>2015</v>
      </c>
      <c r="P56" s="32">
        <v>1549</v>
      </c>
      <c r="Q56" s="32">
        <v>770</v>
      </c>
      <c r="R56" s="32">
        <v>112</v>
      </c>
      <c r="S56" s="32">
        <v>57</v>
      </c>
      <c r="T56" s="32">
        <v>40</v>
      </c>
      <c r="U56" s="32">
        <v>141</v>
      </c>
      <c r="V56" s="32">
        <v>84</v>
      </c>
      <c r="W56" s="32">
        <v>34</v>
      </c>
      <c r="X56" s="32">
        <v>253</v>
      </c>
      <c r="Y56" s="32">
        <v>141</v>
      </c>
      <c r="Z56" s="32">
        <v>74</v>
      </c>
      <c r="AA56" s="32">
        <v>338</v>
      </c>
      <c r="AB56" s="32">
        <v>171</v>
      </c>
      <c r="AC56" s="32">
        <v>121</v>
      </c>
      <c r="AD56" s="32">
        <v>172</v>
      </c>
      <c r="AE56" s="32">
        <v>106</v>
      </c>
      <c r="AF56" s="32">
        <v>43</v>
      </c>
      <c r="AG56" s="32">
        <v>510</v>
      </c>
      <c r="AH56" s="32">
        <v>277</v>
      </c>
      <c r="AI56" s="32">
        <v>164</v>
      </c>
      <c r="AJ56" s="32">
        <v>510</v>
      </c>
      <c r="AK56" s="32">
        <v>1410</v>
      </c>
      <c r="AL56" s="32">
        <v>36.200000000000003</v>
      </c>
    </row>
    <row r="57" spans="1:38" ht="13.5" hidden="1" customHeight="1">
      <c r="A57" s="30" t="s">
        <v>1981</v>
      </c>
      <c r="B57" s="30" t="s">
        <v>2052</v>
      </c>
      <c r="C57" s="30" t="s">
        <v>235</v>
      </c>
      <c r="D57" s="30" t="s">
        <v>2012</v>
      </c>
      <c r="E57" s="30" t="s">
        <v>2015</v>
      </c>
      <c r="F57" s="30" t="s">
        <v>2015</v>
      </c>
      <c r="G57" s="30"/>
      <c r="H57" s="30" t="s">
        <v>2015</v>
      </c>
      <c r="I57" s="30" t="s">
        <v>2131</v>
      </c>
      <c r="J57" s="30" t="s">
        <v>2132</v>
      </c>
      <c r="K57" s="30" t="s">
        <v>2018</v>
      </c>
      <c r="L57" s="30" t="s">
        <v>2017</v>
      </c>
      <c r="M57" s="30" t="s">
        <v>2018</v>
      </c>
      <c r="N57" s="30" t="s">
        <v>2018</v>
      </c>
      <c r="O57" s="30" t="s">
        <v>2015</v>
      </c>
      <c r="P57" s="32">
        <v>6198</v>
      </c>
      <c r="Q57" s="32">
        <v>2702</v>
      </c>
      <c r="R57" s="32">
        <v>618</v>
      </c>
      <c r="S57" s="32">
        <v>345</v>
      </c>
      <c r="T57" s="32">
        <v>166</v>
      </c>
      <c r="U57" s="32">
        <v>523</v>
      </c>
      <c r="V57" s="32">
        <v>373</v>
      </c>
      <c r="W57" s="32">
        <v>190</v>
      </c>
      <c r="X57" s="32">
        <v>1141</v>
      </c>
      <c r="Y57" s="32">
        <v>718</v>
      </c>
      <c r="Z57" s="32">
        <v>356</v>
      </c>
      <c r="AA57" s="32">
        <v>1923</v>
      </c>
      <c r="AB57" s="32">
        <v>1080</v>
      </c>
      <c r="AC57" s="32">
        <v>519</v>
      </c>
      <c r="AD57" s="32">
        <v>621</v>
      </c>
      <c r="AE57" s="32">
        <v>441</v>
      </c>
      <c r="AF57" s="32">
        <v>227</v>
      </c>
      <c r="AG57" s="32">
        <v>2544</v>
      </c>
      <c r="AH57" s="32">
        <v>1521</v>
      </c>
      <c r="AI57" s="32">
        <v>746</v>
      </c>
      <c r="AJ57" s="32">
        <v>2544</v>
      </c>
      <c r="AK57" s="32">
        <v>6041</v>
      </c>
      <c r="AL57" s="32">
        <v>42.1</v>
      </c>
    </row>
    <row r="58" spans="1:38" ht="13.5" hidden="1" customHeight="1">
      <c r="A58" s="30" t="s">
        <v>1981</v>
      </c>
      <c r="B58" s="30" t="s">
        <v>2052</v>
      </c>
      <c r="C58" s="30" t="s">
        <v>235</v>
      </c>
      <c r="D58" s="30" t="s">
        <v>2012</v>
      </c>
      <c r="E58" s="30" t="s">
        <v>2015</v>
      </c>
      <c r="F58" s="30" t="s">
        <v>2015</v>
      </c>
      <c r="G58" s="30"/>
      <c r="H58" s="30" t="s">
        <v>2015</v>
      </c>
      <c r="I58" s="30" t="s">
        <v>2133</v>
      </c>
      <c r="J58" s="30" t="s">
        <v>2134</v>
      </c>
      <c r="K58" s="30" t="s">
        <v>2099</v>
      </c>
      <c r="L58" s="30" t="s">
        <v>2017</v>
      </c>
      <c r="M58" s="30" t="s">
        <v>2018</v>
      </c>
      <c r="N58" s="30" t="s">
        <v>2099</v>
      </c>
      <c r="O58" s="30" t="s">
        <v>2100</v>
      </c>
      <c r="P58" s="32">
        <v>4164</v>
      </c>
      <c r="Q58" s="32">
        <v>1371</v>
      </c>
      <c r="R58" s="32">
        <v>300</v>
      </c>
      <c r="S58" s="32">
        <v>135</v>
      </c>
      <c r="T58" s="32">
        <v>72</v>
      </c>
      <c r="U58" s="32">
        <v>388</v>
      </c>
      <c r="V58" s="32">
        <v>274</v>
      </c>
      <c r="W58" s="32">
        <v>167</v>
      </c>
      <c r="X58" s="32">
        <v>688</v>
      </c>
      <c r="Y58" s="32">
        <v>409</v>
      </c>
      <c r="Z58" s="32">
        <v>239</v>
      </c>
      <c r="AA58" s="32">
        <v>928</v>
      </c>
      <c r="AB58" s="32">
        <v>419</v>
      </c>
      <c r="AC58" s="32">
        <v>221</v>
      </c>
      <c r="AD58" s="32">
        <v>479</v>
      </c>
      <c r="AE58" s="32">
        <v>326</v>
      </c>
      <c r="AF58" s="32">
        <v>190</v>
      </c>
      <c r="AG58" s="32">
        <v>1407</v>
      </c>
      <c r="AH58" s="32">
        <v>745</v>
      </c>
      <c r="AI58" s="32">
        <v>411</v>
      </c>
      <c r="AJ58" s="32">
        <v>1407</v>
      </c>
      <c r="AK58" s="32">
        <v>3104</v>
      </c>
      <c r="AL58" s="32">
        <v>45.3</v>
      </c>
    </row>
    <row r="59" spans="1:38" ht="13.5" hidden="1" customHeight="1">
      <c r="A59" s="30" t="s">
        <v>1981</v>
      </c>
      <c r="B59" s="30" t="s">
        <v>2052</v>
      </c>
      <c r="C59" s="30" t="s">
        <v>235</v>
      </c>
      <c r="D59" s="30" t="s">
        <v>2012</v>
      </c>
      <c r="E59" s="30" t="s">
        <v>2015</v>
      </c>
      <c r="F59" s="30" t="s">
        <v>2015</v>
      </c>
      <c r="G59" s="30"/>
      <c r="H59" s="30" t="s">
        <v>2015</v>
      </c>
      <c r="I59" s="30" t="s">
        <v>2135</v>
      </c>
      <c r="J59" s="30" t="s">
        <v>2136</v>
      </c>
      <c r="K59" s="30" t="s">
        <v>2018</v>
      </c>
      <c r="L59" s="30" t="s">
        <v>2017</v>
      </c>
      <c r="M59" s="30" t="s">
        <v>2018</v>
      </c>
      <c r="N59" s="30" t="s">
        <v>2018</v>
      </c>
      <c r="O59" s="30" t="s">
        <v>2015</v>
      </c>
      <c r="P59" s="32">
        <v>1319</v>
      </c>
      <c r="Q59" s="32">
        <v>905</v>
      </c>
      <c r="R59" s="32">
        <v>129</v>
      </c>
      <c r="S59" s="32">
        <v>78</v>
      </c>
      <c r="T59" s="32">
        <v>26</v>
      </c>
      <c r="U59" s="32">
        <v>182</v>
      </c>
      <c r="V59" s="32">
        <v>136</v>
      </c>
      <c r="W59" s="32">
        <v>77</v>
      </c>
      <c r="X59" s="32">
        <v>311</v>
      </c>
      <c r="Y59" s="32">
        <v>214</v>
      </c>
      <c r="Z59" s="32">
        <v>103</v>
      </c>
      <c r="AA59" s="32">
        <v>374</v>
      </c>
      <c r="AB59" s="32">
        <v>226</v>
      </c>
      <c r="AC59" s="32">
        <v>75</v>
      </c>
      <c r="AD59" s="32">
        <v>200</v>
      </c>
      <c r="AE59" s="32">
        <v>150</v>
      </c>
      <c r="AF59" s="32">
        <v>85</v>
      </c>
      <c r="AG59" s="32">
        <v>574</v>
      </c>
      <c r="AH59" s="32">
        <v>376</v>
      </c>
      <c r="AI59" s="32">
        <v>160</v>
      </c>
      <c r="AJ59" s="32">
        <v>574</v>
      </c>
      <c r="AK59" s="32">
        <v>1310</v>
      </c>
      <c r="AL59" s="32">
        <v>43.8</v>
      </c>
    </row>
    <row r="60" spans="1:38" ht="13.5" hidden="1" customHeight="1">
      <c r="A60" s="30" t="s">
        <v>1981</v>
      </c>
      <c r="B60" s="30" t="s">
        <v>2052</v>
      </c>
      <c r="C60" s="30" t="s">
        <v>235</v>
      </c>
      <c r="D60" s="30" t="s">
        <v>2012</v>
      </c>
      <c r="E60" s="30" t="s">
        <v>2015</v>
      </c>
      <c r="F60" s="30" t="s">
        <v>2015</v>
      </c>
      <c r="G60" s="30"/>
      <c r="H60" s="30" t="s">
        <v>2015</v>
      </c>
      <c r="I60" s="30" t="s">
        <v>2137</v>
      </c>
      <c r="J60" s="30" t="s">
        <v>2138</v>
      </c>
      <c r="K60" s="30" t="s">
        <v>2018</v>
      </c>
      <c r="L60" s="30" t="s">
        <v>2017</v>
      </c>
      <c r="M60" s="30" t="s">
        <v>2018</v>
      </c>
      <c r="N60" s="30" t="s">
        <v>2018</v>
      </c>
      <c r="O60" s="30" t="s">
        <v>2015</v>
      </c>
      <c r="P60" s="32">
        <v>945</v>
      </c>
      <c r="Q60" s="32">
        <v>506</v>
      </c>
      <c r="R60" s="32">
        <v>111</v>
      </c>
      <c r="S60" s="32">
        <v>57</v>
      </c>
      <c r="T60" s="32">
        <v>27</v>
      </c>
      <c r="U60" s="32">
        <v>108</v>
      </c>
      <c r="V60" s="32">
        <v>81</v>
      </c>
      <c r="W60" s="32">
        <v>48</v>
      </c>
      <c r="X60" s="32">
        <v>219</v>
      </c>
      <c r="Y60" s="32">
        <v>138</v>
      </c>
      <c r="Z60" s="32">
        <v>75</v>
      </c>
      <c r="AA60" s="32">
        <v>322</v>
      </c>
      <c r="AB60" s="32">
        <v>165</v>
      </c>
      <c r="AC60" s="32">
        <v>78</v>
      </c>
      <c r="AD60" s="32">
        <v>119</v>
      </c>
      <c r="AE60" s="32">
        <v>89</v>
      </c>
      <c r="AF60" s="32">
        <v>53</v>
      </c>
      <c r="AG60" s="32">
        <v>441</v>
      </c>
      <c r="AH60" s="32">
        <v>254</v>
      </c>
      <c r="AI60" s="32">
        <v>131</v>
      </c>
      <c r="AJ60" s="32">
        <v>441</v>
      </c>
      <c r="AK60" s="32">
        <v>952</v>
      </c>
      <c r="AL60" s="32">
        <v>46.3</v>
      </c>
    </row>
    <row r="61" spans="1:38" ht="13.5" hidden="1" customHeight="1">
      <c r="A61" s="30" t="s">
        <v>1981</v>
      </c>
      <c r="B61" s="30" t="s">
        <v>2052</v>
      </c>
      <c r="C61" s="30" t="s">
        <v>235</v>
      </c>
      <c r="D61" s="30" t="s">
        <v>2012</v>
      </c>
      <c r="E61" s="30" t="s">
        <v>2015</v>
      </c>
      <c r="F61" s="30" t="s">
        <v>2015</v>
      </c>
      <c r="G61" s="30"/>
      <c r="H61" s="30" t="s">
        <v>2015</v>
      </c>
      <c r="I61" s="30" t="s">
        <v>2139</v>
      </c>
      <c r="J61" s="30" t="s">
        <v>2140</v>
      </c>
      <c r="K61" s="30" t="s">
        <v>2018</v>
      </c>
      <c r="L61" s="30" t="s">
        <v>2017</v>
      </c>
      <c r="M61" s="30" t="s">
        <v>2018</v>
      </c>
      <c r="N61" s="30" t="s">
        <v>2018</v>
      </c>
      <c r="O61" s="30" t="s">
        <v>2015</v>
      </c>
      <c r="P61" s="32">
        <v>2467</v>
      </c>
      <c r="Q61" s="32">
        <v>1243</v>
      </c>
      <c r="R61" s="32">
        <v>145</v>
      </c>
      <c r="S61" s="32">
        <v>53</v>
      </c>
      <c r="T61" s="32">
        <v>21</v>
      </c>
      <c r="U61" s="32">
        <v>325</v>
      </c>
      <c r="V61" s="32">
        <v>202</v>
      </c>
      <c r="W61" s="32">
        <v>93</v>
      </c>
      <c r="X61" s="32">
        <v>470</v>
      </c>
      <c r="Y61" s="32">
        <v>255</v>
      </c>
      <c r="Z61" s="32">
        <v>114</v>
      </c>
      <c r="AA61" s="32">
        <v>416</v>
      </c>
      <c r="AB61" s="32">
        <v>153</v>
      </c>
      <c r="AC61" s="32">
        <v>61</v>
      </c>
      <c r="AD61" s="32">
        <v>360</v>
      </c>
      <c r="AE61" s="32">
        <v>223</v>
      </c>
      <c r="AF61" s="32">
        <v>103</v>
      </c>
      <c r="AG61" s="32">
        <v>776</v>
      </c>
      <c r="AH61" s="32">
        <v>376</v>
      </c>
      <c r="AI61" s="32">
        <v>164</v>
      </c>
      <c r="AJ61" s="32">
        <v>776</v>
      </c>
      <c r="AK61" s="32">
        <v>2364</v>
      </c>
      <c r="AL61" s="32">
        <v>32.799999999999997</v>
      </c>
    </row>
    <row r="62" spans="1:38" ht="13.5" hidden="1" customHeight="1">
      <c r="A62" s="30" t="s">
        <v>1981</v>
      </c>
      <c r="B62" s="30" t="s">
        <v>2052</v>
      </c>
      <c r="C62" s="30" t="s">
        <v>235</v>
      </c>
      <c r="D62" s="30" t="s">
        <v>2012</v>
      </c>
      <c r="E62" s="30" t="s">
        <v>2015</v>
      </c>
      <c r="F62" s="30" t="s">
        <v>2015</v>
      </c>
      <c r="G62" s="30"/>
      <c r="H62" s="30" t="s">
        <v>2015</v>
      </c>
      <c r="I62" s="30" t="s">
        <v>2141</v>
      </c>
      <c r="J62" s="30" t="s">
        <v>2142</v>
      </c>
      <c r="K62" s="30" t="s">
        <v>2038</v>
      </c>
      <c r="L62" s="30" t="s">
        <v>2017</v>
      </c>
      <c r="M62" s="30" t="s">
        <v>2018</v>
      </c>
      <c r="N62" s="30" t="s">
        <v>2038</v>
      </c>
      <c r="O62" s="30" t="s">
        <v>2039</v>
      </c>
      <c r="P62" s="32">
        <v>4126</v>
      </c>
      <c r="Q62" s="32">
        <v>1704</v>
      </c>
      <c r="R62" s="32">
        <v>192</v>
      </c>
      <c r="S62" s="32">
        <v>101</v>
      </c>
      <c r="T62" s="32">
        <v>34</v>
      </c>
      <c r="U62" s="32">
        <v>199</v>
      </c>
      <c r="V62" s="32">
        <v>95</v>
      </c>
      <c r="W62" s="32">
        <v>66</v>
      </c>
      <c r="X62" s="32">
        <v>391</v>
      </c>
      <c r="Y62" s="32">
        <v>196</v>
      </c>
      <c r="Z62" s="32">
        <v>100</v>
      </c>
      <c r="AA62" s="32">
        <v>578</v>
      </c>
      <c r="AB62" s="32">
        <v>305</v>
      </c>
      <c r="AC62" s="32">
        <v>100</v>
      </c>
      <c r="AD62" s="32">
        <v>270</v>
      </c>
      <c r="AE62" s="32">
        <v>128</v>
      </c>
      <c r="AF62" s="32">
        <v>88</v>
      </c>
      <c r="AG62" s="32">
        <v>848</v>
      </c>
      <c r="AH62" s="32">
        <v>433</v>
      </c>
      <c r="AI62" s="32">
        <v>188</v>
      </c>
      <c r="AJ62" s="32">
        <v>848</v>
      </c>
      <c r="AK62" s="32">
        <v>4049</v>
      </c>
      <c r="AL62" s="32">
        <v>20.9</v>
      </c>
    </row>
    <row r="63" spans="1:38" ht="13.5" hidden="1" customHeight="1">
      <c r="A63" s="30" t="s">
        <v>1981</v>
      </c>
      <c r="B63" s="30" t="s">
        <v>2052</v>
      </c>
      <c r="C63" s="30" t="s">
        <v>235</v>
      </c>
      <c r="D63" s="30" t="s">
        <v>2012</v>
      </c>
      <c r="E63" s="30" t="s">
        <v>2015</v>
      </c>
      <c r="F63" s="30" t="s">
        <v>2015</v>
      </c>
      <c r="G63" s="30"/>
      <c r="H63" s="30" t="s">
        <v>2015</v>
      </c>
      <c r="I63" s="30" t="s">
        <v>2143</v>
      </c>
      <c r="J63" s="30" t="s">
        <v>2144</v>
      </c>
      <c r="K63" s="30" t="s">
        <v>2018</v>
      </c>
      <c r="L63" s="30" t="s">
        <v>2017</v>
      </c>
      <c r="M63" s="30" t="s">
        <v>2018</v>
      </c>
      <c r="N63" s="30" t="s">
        <v>2018</v>
      </c>
      <c r="O63" s="30" t="s">
        <v>2015</v>
      </c>
      <c r="P63" s="32">
        <v>872</v>
      </c>
      <c r="Q63" s="32">
        <v>381</v>
      </c>
      <c r="R63" s="32">
        <v>106</v>
      </c>
      <c r="S63" s="32">
        <v>47</v>
      </c>
      <c r="T63" s="32">
        <v>20</v>
      </c>
      <c r="U63" s="32">
        <v>91</v>
      </c>
      <c r="V63" s="32">
        <v>53</v>
      </c>
      <c r="W63" s="32">
        <v>31</v>
      </c>
      <c r="X63" s="32">
        <v>197</v>
      </c>
      <c r="Y63" s="32">
        <v>100</v>
      </c>
      <c r="Z63" s="32">
        <v>51</v>
      </c>
      <c r="AA63" s="32">
        <v>329</v>
      </c>
      <c r="AB63" s="32">
        <v>146</v>
      </c>
      <c r="AC63" s="32">
        <v>62</v>
      </c>
      <c r="AD63" s="32">
        <v>118</v>
      </c>
      <c r="AE63" s="32">
        <v>69</v>
      </c>
      <c r="AF63" s="32">
        <v>40</v>
      </c>
      <c r="AG63" s="32">
        <v>447</v>
      </c>
      <c r="AH63" s="32">
        <v>215</v>
      </c>
      <c r="AI63" s="32">
        <v>102</v>
      </c>
      <c r="AJ63" s="32">
        <v>447</v>
      </c>
      <c r="AK63" s="32">
        <v>815</v>
      </c>
      <c r="AL63" s="32">
        <v>54.8</v>
      </c>
    </row>
    <row r="64" spans="1:38" ht="13.5" hidden="1" customHeight="1">
      <c r="A64" s="30" t="s">
        <v>1981</v>
      </c>
      <c r="B64" s="30" t="s">
        <v>2052</v>
      </c>
      <c r="C64" s="30" t="s">
        <v>235</v>
      </c>
      <c r="D64" s="30" t="s">
        <v>2012</v>
      </c>
      <c r="E64" s="30" t="s">
        <v>2015</v>
      </c>
      <c r="F64" s="30" t="s">
        <v>2015</v>
      </c>
      <c r="G64" s="30"/>
      <c r="H64" s="30" t="s">
        <v>2015</v>
      </c>
      <c r="I64" s="30" t="s">
        <v>2145</v>
      </c>
      <c r="J64" s="30" t="s">
        <v>2146</v>
      </c>
      <c r="K64" s="30" t="s">
        <v>2018</v>
      </c>
      <c r="L64" s="30" t="s">
        <v>2017</v>
      </c>
      <c r="M64" s="30" t="s">
        <v>2018</v>
      </c>
      <c r="N64" s="30" t="s">
        <v>2018</v>
      </c>
      <c r="O64" s="30" t="s">
        <v>2015</v>
      </c>
      <c r="P64" s="32">
        <v>5270</v>
      </c>
      <c r="Q64" s="32">
        <v>2472</v>
      </c>
      <c r="R64" s="32">
        <v>576</v>
      </c>
      <c r="S64" s="32">
        <v>302</v>
      </c>
      <c r="T64" s="32">
        <v>167</v>
      </c>
      <c r="U64" s="32">
        <v>694</v>
      </c>
      <c r="V64" s="32">
        <v>551</v>
      </c>
      <c r="W64" s="32">
        <v>330</v>
      </c>
      <c r="X64" s="32">
        <v>1270</v>
      </c>
      <c r="Y64" s="32">
        <v>853</v>
      </c>
      <c r="Z64" s="32">
        <v>497</v>
      </c>
      <c r="AA64" s="32">
        <v>1751</v>
      </c>
      <c r="AB64" s="32">
        <v>925</v>
      </c>
      <c r="AC64" s="32">
        <v>513</v>
      </c>
      <c r="AD64" s="32">
        <v>763</v>
      </c>
      <c r="AE64" s="32">
        <v>607</v>
      </c>
      <c r="AF64" s="32">
        <v>361</v>
      </c>
      <c r="AG64" s="32">
        <v>2514</v>
      </c>
      <c r="AH64" s="32">
        <v>1532</v>
      </c>
      <c r="AI64" s="32">
        <v>874</v>
      </c>
      <c r="AJ64" s="32">
        <v>2514</v>
      </c>
      <c r="AK64" s="32">
        <v>4830</v>
      </c>
      <c r="AL64" s="32">
        <v>52</v>
      </c>
    </row>
    <row r="65" spans="1:38" ht="13.5" hidden="1" customHeight="1">
      <c r="A65" s="30" t="s">
        <v>1981</v>
      </c>
      <c r="B65" s="30" t="s">
        <v>2052</v>
      </c>
      <c r="C65" s="30" t="s">
        <v>235</v>
      </c>
      <c r="D65" s="30" t="s">
        <v>2012</v>
      </c>
      <c r="E65" s="30" t="s">
        <v>2015</v>
      </c>
      <c r="F65" s="30" t="s">
        <v>2015</v>
      </c>
      <c r="G65" s="30"/>
      <c r="H65" s="30" t="s">
        <v>2015</v>
      </c>
      <c r="I65" s="30" t="s">
        <v>2147</v>
      </c>
      <c r="J65" s="30" t="s">
        <v>2148</v>
      </c>
      <c r="K65" s="30" t="s">
        <v>2018</v>
      </c>
      <c r="L65" s="30" t="s">
        <v>2017</v>
      </c>
      <c r="M65" s="30" t="s">
        <v>2018</v>
      </c>
      <c r="N65" s="30" t="s">
        <v>2018</v>
      </c>
      <c r="O65" s="30" t="s">
        <v>2015</v>
      </c>
      <c r="P65" s="32">
        <v>1210</v>
      </c>
      <c r="Q65" s="32">
        <v>544</v>
      </c>
      <c r="R65" s="32">
        <v>109</v>
      </c>
      <c r="S65" s="32">
        <v>47</v>
      </c>
      <c r="T65" s="32">
        <v>19</v>
      </c>
      <c r="U65" s="32">
        <v>155</v>
      </c>
      <c r="V65" s="32">
        <v>116</v>
      </c>
      <c r="W65" s="32">
        <v>63</v>
      </c>
      <c r="X65" s="32">
        <v>264</v>
      </c>
      <c r="Y65" s="32">
        <v>163</v>
      </c>
      <c r="Z65" s="32">
        <v>82</v>
      </c>
      <c r="AA65" s="32">
        <v>316</v>
      </c>
      <c r="AB65" s="32">
        <v>136</v>
      </c>
      <c r="AC65" s="32">
        <v>55</v>
      </c>
      <c r="AD65" s="32">
        <v>186</v>
      </c>
      <c r="AE65" s="32">
        <v>139</v>
      </c>
      <c r="AF65" s="32">
        <v>76</v>
      </c>
      <c r="AG65" s="32">
        <v>502</v>
      </c>
      <c r="AH65" s="32">
        <v>275</v>
      </c>
      <c r="AI65" s="32">
        <v>131</v>
      </c>
      <c r="AJ65" s="32">
        <v>502</v>
      </c>
      <c r="AK65" s="32">
        <v>1172</v>
      </c>
      <c r="AL65" s="32">
        <v>42.8</v>
      </c>
    </row>
    <row r="66" spans="1:38" ht="13.5" hidden="1" customHeight="1">
      <c r="A66" s="30" t="s">
        <v>1981</v>
      </c>
      <c r="B66" s="30" t="s">
        <v>2052</v>
      </c>
      <c r="C66" s="30" t="s">
        <v>235</v>
      </c>
      <c r="D66" s="30" t="s">
        <v>2012</v>
      </c>
      <c r="E66" s="30" t="s">
        <v>2015</v>
      </c>
      <c r="F66" s="30" t="s">
        <v>2015</v>
      </c>
      <c r="G66" s="30"/>
      <c r="H66" s="30" t="s">
        <v>2015</v>
      </c>
      <c r="I66" s="30" t="s">
        <v>2149</v>
      </c>
      <c r="J66" s="30" t="s">
        <v>2150</v>
      </c>
      <c r="K66" s="30" t="s">
        <v>2018</v>
      </c>
      <c r="L66" s="30" t="s">
        <v>2017</v>
      </c>
      <c r="M66" s="30" t="s">
        <v>2018</v>
      </c>
      <c r="N66" s="30" t="s">
        <v>2018</v>
      </c>
      <c r="O66" s="30" t="s">
        <v>2015</v>
      </c>
      <c r="P66" s="32">
        <v>4804</v>
      </c>
      <c r="Q66" s="32">
        <v>2295</v>
      </c>
      <c r="R66" s="32">
        <v>366</v>
      </c>
      <c r="S66" s="32">
        <v>164</v>
      </c>
      <c r="T66" s="32">
        <v>46</v>
      </c>
      <c r="U66" s="32">
        <v>390</v>
      </c>
      <c r="V66" s="32">
        <v>225</v>
      </c>
      <c r="W66" s="32">
        <v>96</v>
      </c>
      <c r="X66" s="32">
        <v>756</v>
      </c>
      <c r="Y66" s="32">
        <v>389</v>
      </c>
      <c r="Z66" s="32">
        <v>142</v>
      </c>
      <c r="AA66" s="32">
        <v>1026</v>
      </c>
      <c r="AB66" s="32">
        <v>451</v>
      </c>
      <c r="AC66" s="32">
        <v>131</v>
      </c>
      <c r="AD66" s="32">
        <v>447</v>
      </c>
      <c r="AE66" s="32">
        <v>257</v>
      </c>
      <c r="AF66" s="32">
        <v>108</v>
      </c>
      <c r="AG66" s="32">
        <v>1473</v>
      </c>
      <c r="AH66" s="32">
        <v>708</v>
      </c>
      <c r="AI66" s="32">
        <v>239</v>
      </c>
      <c r="AJ66" s="32">
        <v>1473</v>
      </c>
      <c r="AK66" s="32">
        <v>4834</v>
      </c>
      <c r="AL66" s="32">
        <v>30.5</v>
      </c>
    </row>
    <row r="67" spans="1:38" ht="13.5" hidden="1" customHeight="1">
      <c r="A67" s="30" t="s">
        <v>1981</v>
      </c>
      <c r="B67" s="30" t="s">
        <v>2052</v>
      </c>
      <c r="C67" s="30" t="s">
        <v>235</v>
      </c>
      <c r="D67" s="30" t="s">
        <v>2012</v>
      </c>
      <c r="E67" s="30" t="s">
        <v>2015</v>
      </c>
      <c r="F67" s="30" t="s">
        <v>2015</v>
      </c>
      <c r="G67" s="30"/>
      <c r="H67" s="30" t="s">
        <v>2015</v>
      </c>
      <c r="I67" s="30" t="s">
        <v>2151</v>
      </c>
      <c r="J67" s="30" t="s">
        <v>2152</v>
      </c>
      <c r="K67" s="30" t="s">
        <v>2018</v>
      </c>
      <c r="L67" s="30" t="s">
        <v>2017</v>
      </c>
      <c r="M67" s="30" t="s">
        <v>2018</v>
      </c>
      <c r="N67" s="30" t="s">
        <v>2018</v>
      </c>
      <c r="O67" s="30" t="s">
        <v>2015</v>
      </c>
      <c r="P67" s="32">
        <v>1376</v>
      </c>
      <c r="Q67" s="32">
        <v>945</v>
      </c>
      <c r="R67" s="32">
        <v>30</v>
      </c>
      <c r="S67" s="32">
        <v>18</v>
      </c>
      <c r="T67" s="32">
        <v>3</v>
      </c>
      <c r="U67" s="32">
        <v>143</v>
      </c>
      <c r="V67" s="32">
        <v>56</v>
      </c>
      <c r="W67" s="32">
        <v>32</v>
      </c>
      <c r="X67" s="32">
        <v>173</v>
      </c>
      <c r="Y67" s="32">
        <v>74</v>
      </c>
      <c r="Z67" s="32">
        <v>35</v>
      </c>
      <c r="AA67" s="32">
        <v>79</v>
      </c>
      <c r="AB67" s="32">
        <v>49</v>
      </c>
      <c r="AC67" s="32">
        <v>8</v>
      </c>
      <c r="AD67" s="32">
        <v>177</v>
      </c>
      <c r="AE67" s="32">
        <v>68</v>
      </c>
      <c r="AF67" s="32">
        <v>39</v>
      </c>
      <c r="AG67" s="32">
        <v>256</v>
      </c>
      <c r="AH67" s="32">
        <v>117</v>
      </c>
      <c r="AI67" s="32">
        <v>47</v>
      </c>
      <c r="AJ67" s="32">
        <v>256</v>
      </c>
      <c r="AK67" s="32">
        <v>1368</v>
      </c>
      <c r="AL67" s="32">
        <v>18.7</v>
      </c>
    </row>
    <row r="68" spans="1:38" ht="13.5" hidden="1" customHeight="1">
      <c r="A68" s="30" t="s">
        <v>1981</v>
      </c>
      <c r="B68" s="30" t="s">
        <v>2052</v>
      </c>
      <c r="C68" s="30" t="s">
        <v>235</v>
      </c>
      <c r="D68" s="30" t="s">
        <v>2012</v>
      </c>
      <c r="E68" s="30" t="s">
        <v>2015</v>
      </c>
      <c r="F68" s="30" t="s">
        <v>2015</v>
      </c>
      <c r="G68" s="30"/>
      <c r="H68" s="30" t="s">
        <v>2015</v>
      </c>
      <c r="I68" s="30" t="s">
        <v>2153</v>
      </c>
      <c r="J68" s="30" t="s">
        <v>2154</v>
      </c>
      <c r="K68" s="30" t="s">
        <v>2065</v>
      </c>
      <c r="L68" s="30" t="s">
        <v>2066</v>
      </c>
      <c r="M68" s="30" t="s">
        <v>2067</v>
      </c>
      <c r="N68" s="30" t="s">
        <v>2067</v>
      </c>
      <c r="O68" s="30" t="s">
        <v>2068</v>
      </c>
      <c r="P68" s="32">
        <v>4884</v>
      </c>
      <c r="Q68" s="32">
        <v>2207</v>
      </c>
      <c r="R68" s="32">
        <v>496</v>
      </c>
      <c r="S68" s="32">
        <v>192</v>
      </c>
      <c r="T68" s="32">
        <v>74</v>
      </c>
      <c r="U68" s="32">
        <v>623</v>
      </c>
      <c r="V68" s="32">
        <v>360</v>
      </c>
      <c r="W68" s="32">
        <v>194</v>
      </c>
      <c r="X68" s="32">
        <v>1119</v>
      </c>
      <c r="Y68" s="32">
        <v>552</v>
      </c>
      <c r="Z68" s="32">
        <v>268</v>
      </c>
      <c r="AA68" s="32">
        <v>1505</v>
      </c>
      <c r="AB68" s="32">
        <v>584</v>
      </c>
      <c r="AC68" s="32">
        <v>225</v>
      </c>
      <c r="AD68" s="32">
        <v>794</v>
      </c>
      <c r="AE68" s="32">
        <v>448</v>
      </c>
      <c r="AF68" s="32">
        <v>246</v>
      </c>
      <c r="AG68" s="32">
        <v>2299</v>
      </c>
      <c r="AH68" s="32">
        <v>1032</v>
      </c>
      <c r="AI68" s="32">
        <v>471</v>
      </c>
      <c r="AJ68" s="32">
        <v>2299</v>
      </c>
      <c r="AK68" s="32">
        <v>4623</v>
      </c>
      <c r="AL68" s="32">
        <v>49.7</v>
      </c>
    </row>
    <row r="69" spans="1:38" ht="13.5" hidden="1" customHeight="1">
      <c r="A69" s="30" t="s">
        <v>1981</v>
      </c>
      <c r="B69" s="30" t="s">
        <v>2052</v>
      </c>
      <c r="C69" s="30" t="s">
        <v>235</v>
      </c>
      <c r="D69" s="30" t="s">
        <v>2012</v>
      </c>
      <c r="E69" s="30" t="s">
        <v>2015</v>
      </c>
      <c r="F69" s="30" t="s">
        <v>2015</v>
      </c>
      <c r="G69" s="30"/>
      <c r="H69" s="30" t="s">
        <v>2015</v>
      </c>
      <c r="I69" s="30" t="s">
        <v>2155</v>
      </c>
      <c r="J69" s="30" t="s">
        <v>2156</v>
      </c>
      <c r="K69" s="30" t="s">
        <v>2065</v>
      </c>
      <c r="L69" s="30" t="s">
        <v>2066</v>
      </c>
      <c r="M69" s="30" t="s">
        <v>2067</v>
      </c>
      <c r="N69" s="30" t="s">
        <v>2067</v>
      </c>
      <c r="O69" s="30" t="s">
        <v>2068</v>
      </c>
      <c r="P69" s="32">
        <v>1135</v>
      </c>
      <c r="Q69" s="32">
        <v>594</v>
      </c>
      <c r="R69" s="32">
        <v>83</v>
      </c>
      <c r="S69" s="32">
        <v>42</v>
      </c>
      <c r="T69" s="32">
        <v>25</v>
      </c>
      <c r="U69" s="32">
        <v>100</v>
      </c>
      <c r="V69" s="32">
        <v>65</v>
      </c>
      <c r="W69" s="32">
        <v>44</v>
      </c>
      <c r="X69" s="32">
        <v>183</v>
      </c>
      <c r="Y69" s="32">
        <v>107</v>
      </c>
      <c r="Z69" s="32">
        <v>69</v>
      </c>
      <c r="AA69" s="32">
        <v>225</v>
      </c>
      <c r="AB69" s="32">
        <v>112</v>
      </c>
      <c r="AC69" s="32">
        <v>63</v>
      </c>
      <c r="AD69" s="32">
        <v>133</v>
      </c>
      <c r="AE69" s="32">
        <v>87</v>
      </c>
      <c r="AF69" s="32">
        <v>58</v>
      </c>
      <c r="AG69" s="32">
        <v>358</v>
      </c>
      <c r="AH69" s="32">
        <v>199</v>
      </c>
      <c r="AI69" s="32">
        <v>121</v>
      </c>
      <c r="AJ69" s="32">
        <v>358</v>
      </c>
      <c r="AK69" s="32">
        <v>1118</v>
      </c>
      <c r="AL69" s="32">
        <v>32</v>
      </c>
    </row>
    <row r="70" spans="1:38" ht="13.5" hidden="1" customHeight="1">
      <c r="A70" s="30" t="s">
        <v>1981</v>
      </c>
      <c r="B70" s="30" t="s">
        <v>2052</v>
      </c>
      <c r="C70" s="30" t="s">
        <v>235</v>
      </c>
      <c r="D70" s="30" t="s">
        <v>2012</v>
      </c>
      <c r="E70" s="30" t="s">
        <v>2015</v>
      </c>
      <c r="F70" s="30" t="s">
        <v>2015</v>
      </c>
      <c r="G70" s="30"/>
      <c r="H70" s="30" t="s">
        <v>2015</v>
      </c>
      <c r="I70" s="30" t="s">
        <v>2157</v>
      </c>
      <c r="J70" s="30" t="s">
        <v>2158</v>
      </c>
      <c r="K70" s="30" t="s">
        <v>2018</v>
      </c>
      <c r="L70" s="30" t="s">
        <v>2017</v>
      </c>
      <c r="M70" s="30" t="s">
        <v>2018</v>
      </c>
      <c r="N70" s="30" t="s">
        <v>2018</v>
      </c>
      <c r="O70" s="30" t="s">
        <v>2015</v>
      </c>
      <c r="P70" s="32">
        <v>2264</v>
      </c>
      <c r="Q70" s="32">
        <v>997</v>
      </c>
      <c r="R70" s="32">
        <v>215</v>
      </c>
      <c r="S70" s="32">
        <v>87</v>
      </c>
      <c r="T70" s="32">
        <v>22</v>
      </c>
      <c r="U70" s="32">
        <v>36</v>
      </c>
      <c r="V70" s="32">
        <v>13</v>
      </c>
      <c r="W70" s="32">
        <v>2</v>
      </c>
      <c r="X70" s="32">
        <v>251</v>
      </c>
      <c r="Y70" s="32">
        <v>100</v>
      </c>
      <c r="Z70" s="32">
        <v>24</v>
      </c>
      <c r="AA70" s="32">
        <v>719</v>
      </c>
      <c r="AB70" s="32">
        <v>292</v>
      </c>
      <c r="AC70" s="32">
        <v>74</v>
      </c>
      <c r="AD70" s="32">
        <v>58</v>
      </c>
      <c r="AE70" s="32">
        <v>20</v>
      </c>
      <c r="AF70" s="32">
        <v>3</v>
      </c>
      <c r="AG70" s="32">
        <v>777</v>
      </c>
      <c r="AH70" s="32">
        <v>312</v>
      </c>
      <c r="AI70" s="32">
        <v>77</v>
      </c>
      <c r="AJ70" s="32">
        <v>777</v>
      </c>
      <c r="AK70" s="32">
        <v>2170</v>
      </c>
      <c r="AL70" s="32">
        <v>35.799999999999997</v>
      </c>
    </row>
    <row r="71" spans="1:38" ht="13.5" hidden="1" customHeight="1">
      <c r="A71" s="30" t="s">
        <v>1981</v>
      </c>
      <c r="B71" s="30" t="s">
        <v>2052</v>
      </c>
      <c r="C71" s="30" t="s">
        <v>235</v>
      </c>
      <c r="D71" s="30" t="s">
        <v>2012</v>
      </c>
      <c r="E71" s="30" t="s">
        <v>2015</v>
      </c>
      <c r="F71" s="30" t="s">
        <v>2015</v>
      </c>
      <c r="G71" s="30"/>
      <c r="H71" s="30" t="s">
        <v>2015</v>
      </c>
      <c r="I71" s="30" t="s">
        <v>2159</v>
      </c>
      <c r="J71" s="30" t="s">
        <v>2160</v>
      </c>
      <c r="K71" s="30" t="s">
        <v>2018</v>
      </c>
      <c r="L71" s="30" t="s">
        <v>2017</v>
      </c>
      <c r="M71" s="30" t="s">
        <v>2018</v>
      </c>
      <c r="N71" s="30" t="s">
        <v>2018</v>
      </c>
      <c r="O71" s="30" t="s">
        <v>2015</v>
      </c>
      <c r="P71" s="32">
        <v>1453</v>
      </c>
      <c r="Q71" s="32">
        <v>495</v>
      </c>
      <c r="R71" s="32">
        <v>112</v>
      </c>
      <c r="S71" s="32">
        <v>60</v>
      </c>
      <c r="T71" s="32">
        <v>22</v>
      </c>
      <c r="U71" s="32">
        <v>75</v>
      </c>
      <c r="V71" s="32">
        <v>61</v>
      </c>
      <c r="W71" s="32">
        <v>39</v>
      </c>
      <c r="X71" s="32">
        <v>187</v>
      </c>
      <c r="Y71" s="32">
        <v>121</v>
      </c>
      <c r="Z71" s="32">
        <v>61</v>
      </c>
      <c r="AA71" s="32">
        <v>341</v>
      </c>
      <c r="AB71" s="32">
        <v>182</v>
      </c>
      <c r="AC71" s="32">
        <v>67</v>
      </c>
      <c r="AD71" s="32">
        <v>86</v>
      </c>
      <c r="AE71" s="32">
        <v>71</v>
      </c>
      <c r="AF71" s="32">
        <v>45</v>
      </c>
      <c r="AG71" s="32">
        <v>427</v>
      </c>
      <c r="AH71" s="32">
        <v>253</v>
      </c>
      <c r="AI71" s="32">
        <v>112</v>
      </c>
      <c r="AJ71" s="32">
        <v>427</v>
      </c>
      <c r="AK71" s="32">
        <v>920</v>
      </c>
      <c r="AL71" s="32">
        <v>46.4</v>
      </c>
    </row>
    <row r="72" spans="1:38" ht="13.5" hidden="1" customHeight="1">
      <c r="A72" s="30" t="s">
        <v>1981</v>
      </c>
      <c r="B72" s="30" t="s">
        <v>2052</v>
      </c>
      <c r="C72" s="30" t="s">
        <v>235</v>
      </c>
      <c r="D72" s="30" t="s">
        <v>2012</v>
      </c>
      <c r="E72" s="30" t="s">
        <v>2015</v>
      </c>
      <c r="F72" s="30" t="s">
        <v>2015</v>
      </c>
      <c r="G72" s="30"/>
      <c r="H72" s="30" t="s">
        <v>2015</v>
      </c>
      <c r="I72" s="30">
        <v>39440</v>
      </c>
      <c r="J72" s="30" t="s">
        <v>2161</v>
      </c>
      <c r="K72" s="30" t="s">
        <v>2018</v>
      </c>
      <c r="L72" s="30" t="s">
        <v>2017</v>
      </c>
      <c r="M72" s="30" t="s">
        <v>2018</v>
      </c>
      <c r="N72" s="30" t="s">
        <v>2018</v>
      </c>
      <c r="O72" s="30" t="s">
        <v>2015</v>
      </c>
      <c r="P72" s="32">
        <v>2933</v>
      </c>
      <c r="Q72" s="32">
        <v>1350</v>
      </c>
      <c r="R72" s="32">
        <v>347</v>
      </c>
      <c r="S72" s="32">
        <v>209</v>
      </c>
      <c r="T72" s="32">
        <v>111</v>
      </c>
      <c r="U72" s="32">
        <v>307</v>
      </c>
      <c r="V72" s="32">
        <v>229</v>
      </c>
      <c r="W72" s="32">
        <v>106</v>
      </c>
      <c r="X72" s="32">
        <v>654</v>
      </c>
      <c r="Y72" s="32">
        <v>438</v>
      </c>
      <c r="Z72" s="32">
        <v>217</v>
      </c>
      <c r="AA72" s="32">
        <v>971</v>
      </c>
      <c r="AB72" s="32">
        <v>590</v>
      </c>
      <c r="AC72" s="32">
        <v>313</v>
      </c>
      <c r="AD72" s="32">
        <v>347</v>
      </c>
      <c r="AE72" s="32">
        <v>259</v>
      </c>
      <c r="AF72" s="32">
        <v>121</v>
      </c>
      <c r="AG72" s="32">
        <v>1318</v>
      </c>
      <c r="AH72" s="32">
        <v>849</v>
      </c>
      <c r="AI72" s="32">
        <v>434</v>
      </c>
      <c r="AJ72" s="32">
        <v>1318</v>
      </c>
      <c r="AK72" s="32">
        <v>2731</v>
      </c>
      <c r="AL72" s="32">
        <v>48.3</v>
      </c>
    </row>
    <row r="73" spans="1:38" ht="13.5" hidden="1" customHeight="1">
      <c r="A73" s="30" t="s">
        <v>1981</v>
      </c>
      <c r="B73" s="30" t="s">
        <v>2052</v>
      </c>
      <c r="C73" s="30" t="s">
        <v>235</v>
      </c>
      <c r="D73" s="30" t="s">
        <v>2012</v>
      </c>
      <c r="E73" s="30" t="s">
        <v>2015</v>
      </c>
      <c r="F73" s="30" t="s">
        <v>2015</v>
      </c>
      <c r="G73" s="30"/>
      <c r="H73" s="30" t="s">
        <v>2015</v>
      </c>
      <c r="I73" s="30" t="s">
        <v>2162</v>
      </c>
      <c r="J73" s="30" t="s">
        <v>2163</v>
      </c>
      <c r="K73" s="30" t="s">
        <v>2016</v>
      </c>
      <c r="L73" s="30" t="s">
        <v>2017</v>
      </c>
      <c r="M73" s="30" t="s">
        <v>2018</v>
      </c>
      <c r="N73" s="30" t="s">
        <v>2016</v>
      </c>
      <c r="O73" s="30" t="s">
        <v>2019</v>
      </c>
      <c r="P73" s="32">
        <v>4420</v>
      </c>
      <c r="Q73" s="32">
        <v>1798</v>
      </c>
      <c r="R73" s="32">
        <v>410</v>
      </c>
      <c r="S73" s="32">
        <v>171</v>
      </c>
      <c r="T73" s="32">
        <v>76</v>
      </c>
      <c r="U73" s="32">
        <v>295</v>
      </c>
      <c r="V73" s="32">
        <v>150</v>
      </c>
      <c r="W73" s="32">
        <v>71</v>
      </c>
      <c r="X73" s="32">
        <v>705</v>
      </c>
      <c r="Y73" s="32">
        <v>321</v>
      </c>
      <c r="Z73" s="32">
        <v>147</v>
      </c>
      <c r="AA73" s="32">
        <v>1267</v>
      </c>
      <c r="AB73" s="32">
        <v>523</v>
      </c>
      <c r="AC73" s="32">
        <v>231</v>
      </c>
      <c r="AD73" s="32">
        <v>405</v>
      </c>
      <c r="AE73" s="32">
        <v>204</v>
      </c>
      <c r="AF73" s="32">
        <v>94</v>
      </c>
      <c r="AG73" s="32">
        <v>1672</v>
      </c>
      <c r="AH73" s="32">
        <v>727</v>
      </c>
      <c r="AI73" s="32">
        <v>325</v>
      </c>
      <c r="AJ73" s="32">
        <v>1672</v>
      </c>
      <c r="AK73" s="32">
        <v>4460</v>
      </c>
      <c r="AL73" s="32">
        <v>37.5</v>
      </c>
    </row>
    <row r="74" spans="1:38" ht="13.5" hidden="1" customHeight="1">
      <c r="A74" s="30" t="s">
        <v>1981</v>
      </c>
      <c r="B74" s="30" t="s">
        <v>2052</v>
      </c>
      <c r="C74" s="30" t="s">
        <v>235</v>
      </c>
      <c r="D74" s="30" t="s">
        <v>2012</v>
      </c>
      <c r="E74" s="30" t="s">
        <v>2015</v>
      </c>
      <c r="F74" s="30" t="s">
        <v>2015</v>
      </c>
      <c r="G74" s="30"/>
      <c r="H74" s="30" t="s">
        <v>2015</v>
      </c>
      <c r="I74" s="30" t="s">
        <v>2164</v>
      </c>
      <c r="J74" s="30" t="s">
        <v>2165</v>
      </c>
      <c r="K74" s="30" t="s">
        <v>2099</v>
      </c>
      <c r="L74" s="30" t="s">
        <v>2017</v>
      </c>
      <c r="M74" s="30" t="s">
        <v>2018</v>
      </c>
      <c r="N74" s="30" t="s">
        <v>2099</v>
      </c>
      <c r="O74" s="30" t="s">
        <v>2100</v>
      </c>
      <c r="P74" s="32">
        <v>1792</v>
      </c>
      <c r="Q74" s="32">
        <v>521</v>
      </c>
      <c r="R74" s="32">
        <v>125</v>
      </c>
      <c r="S74" s="32">
        <v>58</v>
      </c>
      <c r="T74" s="32">
        <v>8</v>
      </c>
      <c r="U74" s="32">
        <v>71</v>
      </c>
      <c r="V74" s="32">
        <v>37</v>
      </c>
      <c r="W74" s="32">
        <v>13</v>
      </c>
      <c r="X74" s="32">
        <v>196</v>
      </c>
      <c r="Y74" s="32">
        <v>95</v>
      </c>
      <c r="Z74" s="32">
        <v>21</v>
      </c>
      <c r="AA74" s="32">
        <v>371</v>
      </c>
      <c r="AB74" s="32">
        <v>173</v>
      </c>
      <c r="AC74" s="32">
        <v>24</v>
      </c>
      <c r="AD74" s="32">
        <v>84</v>
      </c>
      <c r="AE74" s="32">
        <v>45</v>
      </c>
      <c r="AF74" s="32">
        <v>16</v>
      </c>
      <c r="AG74" s="32">
        <v>455</v>
      </c>
      <c r="AH74" s="32">
        <v>218</v>
      </c>
      <c r="AI74" s="32">
        <v>40</v>
      </c>
      <c r="AJ74" s="32">
        <v>455</v>
      </c>
      <c r="AK74" s="32">
        <v>1046</v>
      </c>
      <c r="AL74" s="32">
        <v>43.5</v>
      </c>
    </row>
    <row r="75" spans="1:38" ht="13.5" hidden="1" customHeight="1">
      <c r="A75" s="30" t="s">
        <v>1981</v>
      </c>
      <c r="B75" s="30" t="s">
        <v>2052</v>
      </c>
      <c r="C75" s="30" t="s">
        <v>235</v>
      </c>
      <c r="D75" s="30" t="s">
        <v>2012</v>
      </c>
      <c r="E75" s="30" t="s">
        <v>2015</v>
      </c>
      <c r="F75" s="30" t="s">
        <v>2015</v>
      </c>
      <c r="G75" s="30"/>
      <c r="H75" s="30" t="s">
        <v>2015</v>
      </c>
      <c r="I75" s="30" t="s">
        <v>2166</v>
      </c>
      <c r="J75" s="30" t="s">
        <v>2167</v>
      </c>
      <c r="K75" s="30" t="s">
        <v>2018</v>
      </c>
      <c r="L75" s="30" t="s">
        <v>2017</v>
      </c>
      <c r="M75" s="30" t="s">
        <v>2018</v>
      </c>
      <c r="N75" s="30" t="s">
        <v>2018</v>
      </c>
      <c r="O75" s="30" t="s">
        <v>2015</v>
      </c>
      <c r="P75" s="32">
        <v>1626</v>
      </c>
      <c r="Q75" s="32">
        <v>842</v>
      </c>
      <c r="R75" s="32">
        <v>247</v>
      </c>
      <c r="S75" s="32">
        <v>113</v>
      </c>
      <c r="T75" s="32">
        <v>56</v>
      </c>
      <c r="U75" s="32">
        <v>212</v>
      </c>
      <c r="V75" s="32">
        <v>159</v>
      </c>
      <c r="W75" s="32">
        <v>100</v>
      </c>
      <c r="X75" s="32">
        <v>459</v>
      </c>
      <c r="Y75" s="32">
        <v>272</v>
      </c>
      <c r="Z75" s="32">
        <v>156</v>
      </c>
      <c r="AA75" s="32">
        <v>734</v>
      </c>
      <c r="AB75" s="32">
        <v>343</v>
      </c>
      <c r="AC75" s="32">
        <v>170</v>
      </c>
      <c r="AD75" s="32">
        <v>255</v>
      </c>
      <c r="AE75" s="32">
        <v>188</v>
      </c>
      <c r="AF75" s="32">
        <v>116</v>
      </c>
      <c r="AG75" s="32">
        <v>989</v>
      </c>
      <c r="AH75" s="32">
        <v>531</v>
      </c>
      <c r="AI75" s="32">
        <v>286</v>
      </c>
      <c r="AJ75" s="32">
        <v>989</v>
      </c>
      <c r="AK75" s="32">
        <v>1638</v>
      </c>
      <c r="AL75" s="32">
        <v>60.4</v>
      </c>
    </row>
    <row r="76" spans="1:38" ht="13.5" hidden="1" customHeight="1">
      <c r="A76" s="30" t="s">
        <v>1981</v>
      </c>
      <c r="B76" s="30" t="s">
        <v>2052</v>
      </c>
      <c r="C76" s="30" t="s">
        <v>235</v>
      </c>
      <c r="D76" s="30" t="s">
        <v>2012</v>
      </c>
      <c r="E76" s="30" t="s">
        <v>2015</v>
      </c>
      <c r="F76" s="30" t="s">
        <v>2015</v>
      </c>
      <c r="G76" s="30"/>
      <c r="H76" s="30" t="s">
        <v>2015</v>
      </c>
      <c r="I76" s="30" t="s">
        <v>2168</v>
      </c>
      <c r="J76" s="30" t="s">
        <v>2169</v>
      </c>
      <c r="K76" s="30" t="s">
        <v>2018</v>
      </c>
      <c r="L76" s="30" t="s">
        <v>2017</v>
      </c>
      <c r="M76" s="30" t="s">
        <v>2018</v>
      </c>
      <c r="N76" s="30" t="s">
        <v>2018</v>
      </c>
      <c r="O76" s="30" t="s">
        <v>2015</v>
      </c>
      <c r="P76" s="32">
        <v>225</v>
      </c>
      <c r="Q76" s="32">
        <v>355</v>
      </c>
      <c r="R76" s="32">
        <v>7</v>
      </c>
      <c r="S76" s="32">
        <v>0</v>
      </c>
      <c r="T76" s="32">
        <v>0</v>
      </c>
      <c r="U76" s="32">
        <v>8</v>
      </c>
      <c r="V76" s="32">
        <v>8</v>
      </c>
      <c r="W76" s="32">
        <v>7</v>
      </c>
      <c r="X76" s="32">
        <v>15</v>
      </c>
      <c r="Y76" s="32">
        <v>8</v>
      </c>
      <c r="Z76" s="32">
        <v>7</v>
      </c>
      <c r="AA76" s="32">
        <v>18</v>
      </c>
      <c r="AB76" s="32">
        <v>0</v>
      </c>
      <c r="AC76" s="32">
        <v>0</v>
      </c>
      <c r="AD76" s="32">
        <v>8</v>
      </c>
      <c r="AE76" s="32">
        <v>8</v>
      </c>
      <c r="AF76" s="32">
        <v>7</v>
      </c>
      <c r="AG76" s="32">
        <v>26</v>
      </c>
      <c r="AH76" s="32">
        <v>8</v>
      </c>
      <c r="AI76" s="32">
        <v>7</v>
      </c>
      <c r="AJ76" s="32">
        <v>26</v>
      </c>
      <c r="AK76" s="32">
        <v>160</v>
      </c>
      <c r="AL76" s="32">
        <v>16.2</v>
      </c>
    </row>
    <row r="77" spans="1:38" ht="13.5" hidden="1" customHeight="1">
      <c r="A77" s="30" t="s">
        <v>1981</v>
      </c>
      <c r="B77" s="30" t="s">
        <v>2052</v>
      </c>
      <c r="C77" s="30" t="s">
        <v>235</v>
      </c>
      <c r="D77" s="30" t="s">
        <v>2012</v>
      </c>
      <c r="E77" s="30" t="s">
        <v>2015</v>
      </c>
      <c r="F77" s="30" t="s">
        <v>2015</v>
      </c>
      <c r="G77" s="30"/>
      <c r="H77" s="30" t="s">
        <v>2015</v>
      </c>
      <c r="I77" s="30" t="s">
        <v>2170</v>
      </c>
      <c r="J77" s="30" t="s">
        <v>2171</v>
      </c>
      <c r="K77" s="30" t="s">
        <v>2018</v>
      </c>
      <c r="L77" s="30" t="s">
        <v>2017</v>
      </c>
      <c r="M77" s="30" t="s">
        <v>2018</v>
      </c>
      <c r="N77" s="30" t="s">
        <v>2018</v>
      </c>
      <c r="O77" s="30" t="s">
        <v>2015</v>
      </c>
      <c r="P77" s="32">
        <v>1376</v>
      </c>
      <c r="Q77" s="32">
        <v>735</v>
      </c>
      <c r="R77" s="32">
        <v>127</v>
      </c>
      <c r="S77" s="32">
        <v>74</v>
      </c>
      <c r="T77" s="32">
        <v>43</v>
      </c>
      <c r="U77" s="32">
        <v>263</v>
      </c>
      <c r="V77" s="32">
        <v>210</v>
      </c>
      <c r="W77" s="32">
        <v>140</v>
      </c>
      <c r="X77" s="32">
        <v>390</v>
      </c>
      <c r="Y77" s="32">
        <v>284</v>
      </c>
      <c r="Z77" s="32">
        <v>183</v>
      </c>
      <c r="AA77" s="32">
        <v>367</v>
      </c>
      <c r="AB77" s="32">
        <v>213</v>
      </c>
      <c r="AC77" s="32">
        <v>124</v>
      </c>
      <c r="AD77" s="32">
        <v>322</v>
      </c>
      <c r="AE77" s="32">
        <v>256</v>
      </c>
      <c r="AF77" s="32">
        <v>171</v>
      </c>
      <c r="AG77" s="32">
        <v>689</v>
      </c>
      <c r="AH77" s="32">
        <v>469</v>
      </c>
      <c r="AI77" s="32">
        <v>295</v>
      </c>
      <c r="AJ77" s="32">
        <v>689</v>
      </c>
      <c r="AK77" s="32">
        <v>1276</v>
      </c>
      <c r="AL77" s="32">
        <v>54</v>
      </c>
    </row>
    <row r="78" spans="1:38" ht="13.5" hidden="1" customHeight="1">
      <c r="A78" s="30" t="s">
        <v>1981</v>
      </c>
      <c r="B78" s="30" t="s">
        <v>2052</v>
      </c>
      <c r="C78" s="30" t="s">
        <v>235</v>
      </c>
      <c r="D78" s="30" t="s">
        <v>2012</v>
      </c>
      <c r="E78" s="30" t="s">
        <v>2015</v>
      </c>
      <c r="F78" s="30" t="s">
        <v>2015</v>
      </c>
      <c r="G78" s="30"/>
      <c r="H78" s="30" t="s">
        <v>2015</v>
      </c>
      <c r="I78" s="30" t="s">
        <v>2172</v>
      </c>
      <c r="J78" s="30" t="s">
        <v>2173</v>
      </c>
      <c r="K78" s="30" t="s">
        <v>2018</v>
      </c>
      <c r="L78" s="30" t="s">
        <v>2017</v>
      </c>
      <c r="M78" s="30" t="s">
        <v>2018</v>
      </c>
      <c r="N78" s="30" t="s">
        <v>2018</v>
      </c>
      <c r="O78" s="30" t="s">
        <v>2015</v>
      </c>
      <c r="P78" s="32">
        <v>3326</v>
      </c>
      <c r="Q78" s="32">
        <v>1667</v>
      </c>
      <c r="R78" s="32">
        <v>310</v>
      </c>
      <c r="S78" s="32">
        <v>130</v>
      </c>
      <c r="T78" s="32">
        <v>40</v>
      </c>
      <c r="U78" s="32">
        <v>418</v>
      </c>
      <c r="V78" s="32">
        <v>310</v>
      </c>
      <c r="W78" s="32">
        <v>195</v>
      </c>
      <c r="X78" s="32">
        <v>728</v>
      </c>
      <c r="Y78" s="32">
        <v>440</v>
      </c>
      <c r="Z78" s="32">
        <v>235</v>
      </c>
      <c r="AA78" s="32">
        <v>847</v>
      </c>
      <c r="AB78" s="32">
        <v>357</v>
      </c>
      <c r="AC78" s="32">
        <v>112</v>
      </c>
      <c r="AD78" s="32">
        <v>490</v>
      </c>
      <c r="AE78" s="32">
        <v>365</v>
      </c>
      <c r="AF78" s="32">
        <v>232</v>
      </c>
      <c r="AG78" s="32">
        <v>1337</v>
      </c>
      <c r="AH78" s="32">
        <v>722</v>
      </c>
      <c r="AI78" s="32">
        <v>344</v>
      </c>
      <c r="AJ78" s="32">
        <v>1337</v>
      </c>
      <c r="AK78" s="32">
        <v>3204</v>
      </c>
      <c r="AL78" s="32">
        <v>41.7</v>
      </c>
    </row>
    <row r="79" spans="1:38" ht="13.5" hidden="1" customHeight="1">
      <c r="A79" s="30" t="s">
        <v>1981</v>
      </c>
      <c r="B79" s="30" t="s">
        <v>2052</v>
      </c>
      <c r="C79" s="30" t="s">
        <v>235</v>
      </c>
      <c r="D79" s="30" t="s">
        <v>2012</v>
      </c>
      <c r="E79" s="30" t="s">
        <v>2015</v>
      </c>
      <c r="F79" s="30" t="s">
        <v>2015</v>
      </c>
      <c r="G79" s="30"/>
      <c r="H79" s="30" t="s">
        <v>2015</v>
      </c>
      <c r="I79" s="30" t="s">
        <v>2174</v>
      </c>
      <c r="J79" s="30" t="s">
        <v>2175</v>
      </c>
      <c r="K79" s="30" t="s">
        <v>2018</v>
      </c>
      <c r="L79" s="30" t="s">
        <v>2017</v>
      </c>
      <c r="M79" s="30" t="s">
        <v>2018</v>
      </c>
      <c r="N79" s="30" t="s">
        <v>2018</v>
      </c>
      <c r="O79" s="30" t="s">
        <v>2015</v>
      </c>
      <c r="P79" s="32">
        <v>2733</v>
      </c>
      <c r="Q79" s="32">
        <v>1229</v>
      </c>
      <c r="R79" s="32">
        <v>323</v>
      </c>
      <c r="S79" s="32">
        <v>167</v>
      </c>
      <c r="T79" s="32">
        <v>68</v>
      </c>
      <c r="U79" s="32">
        <v>299</v>
      </c>
      <c r="V79" s="32">
        <v>217</v>
      </c>
      <c r="W79" s="32">
        <v>140</v>
      </c>
      <c r="X79" s="32">
        <v>622</v>
      </c>
      <c r="Y79" s="32">
        <v>384</v>
      </c>
      <c r="Z79" s="32">
        <v>208</v>
      </c>
      <c r="AA79" s="32">
        <v>941</v>
      </c>
      <c r="AB79" s="32">
        <v>503</v>
      </c>
      <c r="AC79" s="32">
        <v>207</v>
      </c>
      <c r="AD79" s="32">
        <v>353</v>
      </c>
      <c r="AE79" s="32">
        <v>256</v>
      </c>
      <c r="AF79" s="32">
        <v>166</v>
      </c>
      <c r="AG79" s="32">
        <v>1294</v>
      </c>
      <c r="AH79" s="32">
        <v>759</v>
      </c>
      <c r="AI79" s="32">
        <v>373</v>
      </c>
      <c r="AJ79" s="32">
        <v>1294</v>
      </c>
      <c r="AK79" s="32">
        <v>2622</v>
      </c>
      <c r="AL79" s="32">
        <v>49.4</v>
      </c>
    </row>
    <row r="80" spans="1:38" ht="13.5" hidden="1" customHeight="1">
      <c r="A80" s="30" t="s">
        <v>1981</v>
      </c>
      <c r="B80" s="30" t="s">
        <v>2052</v>
      </c>
      <c r="C80" s="30" t="s">
        <v>235</v>
      </c>
      <c r="D80" s="30" t="s">
        <v>2012</v>
      </c>
      <c r="E80" s="30" t="s">
        <v>2015</v>
      </c>
      <c r="F80" s="30" t="s">
        <v>2015</v>
      </c>
      <c r="G80" s="30"/>
      <c r="H80" s="30" t="s">
        <v>2015</v>
      </c>
      <c r="I80" s="30" t="s">
        <v>2176</v>
      </c>
      <c r="J80" s="30" t="s">
        <v>2177</v>
      </c>
      <c r="K80" s="30" t="s">
        <v>2018</v>
      </c>
      <c r="L80" s="30" t="s">
        <v>2017</v>
      </c>
      <c r="M80" s="30" t="s">
        <v>2018</v>
      </c>
      <c r="N80" s="30" t="s">
        <v>2018</v>
      </c>
      <c r="O80" s="30" t="s">
        <v>2015</v>
      </c>
      <c r="P80" s="32">
        <v>1428</v>
      </c>
      <c r="Q80" s="32">
        <v>684</v>
      </c>
      <c r="R80" s="32">
        <v>180</v>
      </c>
      <c r="S80" s="32">
        <v>91</v>
      </c>
      <c r="T80" s="32">
        <v>46</v>
      </c>
      <c r="U80" s="32">
        <v>168</v>
      </c>
      <c r="V80" s="32">
        <v>137</v>
      </c>
      <c r="W80" s="32">
        <v>89</v>
      </c>
      <c r="X80" s="32">
        <v>348</v>
      </c>
      <c r="Y80" s="32">
        <v>228</v>
      </c>
      <c r="Z80" s="32">
        <v>135</v>
      </c>
      <c r="AA80" s="32">
        <v>531</v>
      </c>
      <c r="AB80" s="32">
        <v>266</v>
      </c>
      <c r="AC80" s="32">
        <v>133</v>
      </c>
      <c r="AD80" s="32">
        <v>182</v>
      </c>
      <c r="AE80" s="32">
        <v>148</v>
      </c>
      <c r="AF80" s="32">
        <v>97</v>
      </c>
      <c r="AG80" s="32">
        <v>713</v>
      </c>
      <c r="AH80" s="32">
        <v>414</v>
      </c>
      <c r="AI80" s="32">
        <v>230</v>
      </c>
      <c r="AJ80" s="32">
        <v>713</v>
      </c>
      <c r="AK80" s="32">
        <v>1389</v>
      </c>
      <c r="AL80" s="32">
        <v>51.3</v>
      </c>
    </row>
    <row r="81" spans="1:38" ht="13.5" hidden="1" customHeight="1">
      <c r="A81" s="30" t="s">
        <v>1981</v>
      </c>
      <c r="B81" s="30" t="s">
        <v>2052</v>
      </c>
      <c r="C81" s="30" t="s">
        <v>235</v>
      </c>
      <c r="D81" s="30" t="s">
        <v>2012</v>
      </c>
      <c r="E81" s="30" t="s">
        <v>2015</v>
      </c>
      <c r="F81" s="30" t="s">
        <v>2015</v>
      </c>
      <c r="G81" s="30"/>
      <c r="H81" s="30" t="s">
        <v>2015</v>
      </c>
      <c r="I81" s="30" t="s">
        <v>2178</v>
      </c>
      <c r="J81" s="30" t="s">
        <v>2179</v>
      </c>
      <c r="K81" s="30" t="s">
        <v>2016</v>
      </c>
      <c r="L81" s="30" t="s">
        <v>2017</v>
      </c>
      <c r="M81" s="30" t="s">
        <v>2018</v>
      </c>
      <c r="N81" s="30" t="s">
        <v>2016</v>
      </c>
      <c r="O81" s="30" t="s">
        <v>2019</v>
      </c>
      <c r="P81" s="32">
        <v>2450</v>
      </c>
      <c r="Q81" s="32">
        <v>977</v>
      </c>
      <c r="R81" s="32">
        <v>266</v>
      </c>
      <c r="S81" s="32">
        <v>126</v>
      </c>
      <c r="T81" s="32">
        <v>67</v>
      </c>
      <c r="U81" s="32">
        <v>188</v>
      </c>
      <c r="V81" s="32">
        <v>132</v>
      </c>
      <c r="W81" s="32">
        <v>86</v>
      </c>
      <c r="X81" s="32">
        <v>454</v>
      </c>
      <c r="Y81" s="32">
        <v>258</v>
      </c>
      <c r="Z81" s="32">
        <v>153</v>
      </c>
      <c r="AA81" s="32">
        <v>852</v>
      </c>
      <c r="AB81" s="32">
        <v>404</v>
      </c>
      <c r="AC81" s="32">
        <v>215</v>
      </c>
      <c r="AD81" s="32">
        <v>245</v>
      </c>
      <c r="AE81" s="32">
        <v>172</v>
      </c>
      <c r="AF81" s="32">
        <v>112</v>
      </c>
      <c r="AG81" s="32">
        <v>1097</v>
      </c>
      <c r="AH81" s="32">
        <v>576</v>
      </c>
      <c r="AI81" s="32">
        <v>327</v>
      </c>
      <c r="AJ81" s="32">
        <v>1097</v>
      </c>
      <c r="AK81" s="32">
        <v>2405</v>
      </c>
      <c r="AL81" s="32">
        <v>45.6</v>
      </c>
    </row>
    <row r="82" spans="1:38" ht="13.5" hidden="1" customHeight="1">
      <c r="A82" s="30" t="s">
        <v>1981</v>
      </c>
      <c r="B82" s="30" t="s">
        <v>2052</v>
      </c>
      <c r="C82" s="30" t="s">
        <v>235</v>
      </c>
      <c r="D82" s="30" t="s">
        <v>2012</v>
      </c>
      <c r="E82" s="30" t="s">
        <v>2015</v>
      </c>
      <c r="F82" s="30" t="s">
        <v>2015</v>
      </c>
      <c r="G82" s="30"/>
      <c r="H82" s="30" t="s">
        <v>2015</v>
      </c>
      <c r="I82" s="30" t="s">
        <v>2180</v>
      </c>
      <c r="J82" s="30" t="s">
        <v>2181</v>
      </c>
      <c r="K82" s="30" t="s">
        <v>2018</v>
      </c>
      <c r="L82" s="30" t="s">
        <v>2017</v>
      </c>
      <c r="M82" s="30" t="s">
        <v>2018</v>
      </c>
      <c r="N82" s="30" t="s">
        <v>2018</v>
      </c>
      <c r="O82" s="30" t="s">
        <v>2015</v>
      </c>
      <c r="P82" s="32">
        <v>1946</v>
      </c>
      <c r="Q82" s="32">
        <v>980</v>
      </c>
      <c r="R82" s="32">
        <v>207</v>
      </c>
      <c r="S82" s="32">
        <v>128</v>
      </c>
      <c r="T82" s="32">
        <v>48</v>
      </c>
      <c r="U82" s="32">
        <v>243</v>
      </c>
      <c r="V82" s="32">
        <v>162</v>
      </c>
      <c r="W82" s="32">
        <v>89</v>
      </c>
      <c r="X82" s="32">
        <v>450</v>
      </c>
      <c r="Y82" s="32">
        <v>290</v>
      </c>
      <c r="Z82" s="32">
        <v>137</v>
      </c>
      <c r="AA82" s="32">
        <v>593</v>
      </c>
      <c r="AB82" s="32">
        <v>370</v>
      </c>
      <c r="AC82" s="32">
        <v>140</v>
      </c>
      <c r="AD82" s="32">
        <v>316</v>
      </c>
      <c r="AE82" s="32">
        <v>208</v>
      </c>
      <c r="AF82" s="32">
        <v>114</v>
      </c>
      <c r="AG82" s="32">
        <v>909</v>
      </c>
      <c r="AH82" s="32">
        <v>578</v>
      </c>
      <c r="AI82" s="32">
        <v>254</v>
      </c>
      <c r="AJ82" s="32">
        <v>909</v>
      </c>
      <c r="AK82" s="32">
        <v>1752</v>
      </c>
      <c r="AL82" s="32">
        <v>51.9</v>
      </c>
    </row>
    <row r="83" spans="1:38" ht="13.5" hidden="1" customHeight="1">
      <c r="A83" s="30" t="s">
        <v>1981</v>
      </c>
      <c r="B83" s="30" t="s">
        <v>2052</v>
      </c>
      <c r="C83" s="30" t="s">
        <v>235</v>
      </c>
      <c r="D83" s="30" t="s">
        <v>2012</v>
      </c>
      <c r="E83" s="30" t="s">
        <v>2015</v>
      </c>
      <c r="F83" s="30" t="s">
        <v>2015</v>
      </c>
      <c r="G83" s="30"/>
      <c r="H83" s="30" t="s">
        <v>2015</v>
      </c>
      <c r="I83" s="30" t="s">
        <v>2182</v>
      </c>
      <c r="J83" s="30" t="s">
        <v>2183</v>
      </c>
      <c r="K83" s="30" t="s">
        <v>2038</v>
      </c>
      <c r="L83" s="30" t="s">
        <v>2017</v>
      </c>
      <c r="M83" s="30" t="s">
        <v>2018</v>
      </c>
      <c r="N83" s="30" t="s">
        <v>2038</v>
      </c>
      <c r="O83" s="30" t="s">
        <v>2039</v>
      </c>
      <c r="P83" s="32">
        <v>2197</v>
      </c>
      <c r="Q83" s="32">
        <v>955</v>
      </c>
      <c r="R83" s="32">
        <v>244</v>
      </c>
      <c r="S83" s="32">
        <v>137</v>
      </c>
      <c r="T83" s="32">
        <v>70</v>
      </c>
      <c r="U83" s="32">
        <v>140</v>
      </c>
      <c r="V83" s="32">
        <v>97</v>
      </c>
      <c r="W83" s="32">
        <v>48</v>
      </c>
      <c r="X83" s="32">
        <v>384</v>
      </c>
      <c r="Y83" s="32">
        <v>234</v>
      </c>
      <c r="Z83" s="32">
        <v>118</v>
      </c>
      <c r="AA83" s="32">
        <v>724</v>
      </c>
      <c r="AB83" s="32">
        <v>408</v>
      </c>
      <c r="AC83" s="32">
        <v>209</v>
      </c>
      <c r="AD83" s="32">
        <v>196</v>
      </c>
      <c r="AE83" s="32">
        <v>134</v>
      </c>
      <c r="AF83" s="32">
        <v>66</v>
      </c>
      <c r="AG83" s="32">
        <v>920</v>
      </c>
      <c r="AH83" s="32">
        <v>542</v>
      </c>
      <c r="AI83" s="32">
        <v>275</v>
      </c>
      <c r="AJ83" s="32">
        <v>920</v>
      </c>
      <c r="AK83" s="32">
        <v>2185</v>
      </c>
      <c r="AL83" s="32">
        <v>42.1</v>
      </c>
    </row>
    <row r="84" spans="1:38" ht="13.5" hidden="1" customHeight="1">
      <c r="A84" s="30" t="s">
        <v>1981</v>
      </c>
      <c r="B84" s="30" t="s">
        <v>2052</v>
      </c>
      <c r="C84" s="30" t="s">
        <v>235</v>
      </c>
      <c r="D84" s="30" t="s">
        <v>2012</v>
      </c>
      <c r="E84" s="30" t="s">
        <v>2015</v>
      </c>
      <c r="F84" s="30" t="s">
        <v>2015</v>
      </c>
      <c r="G84" s="30"/>
      <c r="H84" s="30" t="s">
        <v>2015</v>
      </c>
      <c r="I84" s="30" t="s">
        <v>2184</v>
      </c>
      <c r="J84" s="30" t="s">
        <v>2185</v>
      </c>
      <c r="K84" s="30" t="s">
        <v>2018</v>
      </c>
      <c r="L84" s="30" t="s">
        <v>2017</v>
      </c>
      <c r="M84" s="30" t="s">
        <v>2018</v>
      </c>
      <c r="N84" s="30" t="s">
        <v>2018</v>
      </c>
      <c r="O84" s="30" t="s">
        <v>2015</v>
      </c>
      <c r="P84" s="32">
        <v>5190</v>
      </c>
      <c r="Q84" s="32">
        <v>2673</v>
      </c>
      <c r="R84" s="32">
        <v>613</v>
      </c>
      <c r="S84" s="32">
        <v>358</v>
      </c>
      <c r="T84" s="32">
        <v>175</v>
      </c>
      <c r="U84" s="32">
        <v>558</v>
      </c>
      <c r="V84" s="32">
        <v>406</v>
      </c>
      <c r="W84" s="32">
        <v>213</v>
      </c>
      <c r="X84" s="32">
        <v>1171</v>
      </c>
      <c r="Y84" s="32">
        <v>764</v>
      </c>
      <c r="Z84" s="32">
        <v>388</v>
      </c>
      <c r="AA84" s="32">
        <v>1683</v>
      </c>
      <c r="AB84" s="32">
        <v>980</v>
      </c>
      <c r="AC84" s="32">
        <v>481</v>
      </c>
      <c r="AD84" s="32">
        <v>645</v>
      </c>
      <c r="AE84" s="32">
        <v>472</v>
      </c>
      <c r="AF84" s="32">
        <v>242</v>
      </c>
      <c r="AG84" s="32">
        <v>2328</v>
      </c>
      <c r="AH84" s="32">
        <v>1452</v>
      </c>
      <c r="AI84" s="32">
        <v>723</v>
      </c>
      <c r="AJ84" s="32">
        <v>2328</v>
      </c>
      <c r="AK84" s="32">
        <v>5139</v>
      </c>
      <c r="AL84" s="32">
        <v>45.3</v>
      </c>
    </row>
    <row r="85" spans="1:38" ht="13.5" hidden="1" customHeight="1">
      <c r="A85" s="30" t="s">
        <v>1981</v>
      </c>
      <c r="B85" s="30" t="s">
        <v>2052</v>
      </c>
      <c r="C85" s="30" t="s">
        <v>235</v>
      </c>
      <c r="D85" s="30" t="s">
        <v>2012</v>
      </c>
      <c r="E85" s="30" t="s">
        <v>2015</v>
      </c>
      <c r="F85" s="30" t="s">
        <v>2015</v>
      </c>
      <c r="G85" s="30"/>
      <c r="H85" s="30" t="s">
        <v>2015</v>
      </c>
      <c r="I85" s="30" t="s">
        <v>2186</v>
      </c>
      <c r="J85" s="30" t="s">
        <v>2187</v>
      </c>
      <c r="K85" s="30" t="s">
        <v>2018</v>
      </c>
      <c r="L85" s="30" t="s">
        <v>2017</v>
      </c>
      <c r="M85" s="30" t="s">
        <v>2018</v>
      </c>
      <c r="N85" s="30" t="s">
        <v>2018</v>
      </c>
      <c r="O85" s="30" t="s">
        <v>2015</v>
      </c>
      <c r="P85" s="32">
        <v>1898</v>
      </c>
      <c r="Q85" s="32">
        <v>977</v>
      </c>
      <c r="R85" s="32">
        <v>245</v>
      </c>
      <c r="S85" s="32">
        <v>152</v>
      </c>
      <c r="T85" s="32">
        <v>63</v>
      </c>
      <c r="U85" s="32">
        <v>269</v>
      </c>
      <c r="V85" s="32">
        <v>215</v>
      </c>
      <c r="W85" s="32">
        <v>124</v>
      </c>
      <c r="X85" s="32">
        <v>514</v>
      </c>
      <c r="Y85" s="32">
        <v>367</v>
      </c>
      <c r="Z85" s="32">
        <v>187</v>
      </c>
      <c r="AA85" s="32">
        <v>747</v>
      </c>
      <c r="AB85" s="32">
        <v>465</v>
      </c>
      <c r="AC85" s="32">
        <v>192</v>
      </c>
      <c r="AD85" s="32">
        <v>305</v>
      </c>
      <c r="AE85" s="32">
        <v>243</v>
      </c>
      <c r="AF85" s="32">
        <v>140</v>
      </c>
      <c r="AG85" s="32">
        <v>1052</v>
      </c>
      <c r="AH85" s="32">
        <v>708</v>
      </c>
      <c r="AI85" s="32">
        <v>332</v>
      </c>
      <c r="AJ85" s="32">
        <v>1052</v>
      </c>
      <c r="AK85" s="32">
        <v>1975</v>
      </c>
      <c r="AL85" s="32">
        <v>53.3</v>
      </c>
    </row>
    <row r="86" spans="1:38" ht="13.5" hidden="1" customHeight="1">
      <c r="A86" s="30" t="s">
        <v>1981</v>
      </c>
      <c r="B86" s="30" t="s">
        <v>2052</v>
      </c>
      <c r="C86" s="30" t="s">
        <v>235</v>
      </c>
      <c r="D86" s="30" t="s">
        <v>2012</v>
      </c>
      <c r="E86" s="30" t="s">
        <v>2015</v>
      </c>
      <c r="F86" s="30" t="s">
        <v>2015</v>
      </c>
      <c r="G86" s="30"/>
      <c r="H86" s="30" t="s">
        <v>2015</v>
      </c>
      <c r="I86" s="30" t="s">
        <v>2188</v>
      </c>
      <c r="J86" s="30" t="s">
        <v>2189</v>
      </c>
      <c r="K86" s="30" t="s">
        <v>2018</v>
      </c>
      <c r="L86" s="30" t="s">
        <v>2017</v>
      </c>
      <c r="M86" s="30" t="s">
        <v>2018</v>
      </c>
      <c r="N86" s="30" t="s">
        <v>2018</v>
      </c>
      <c r="O86" s="30" t="s">
        <v>2015</v>
      </c>
      <c r="P86" s="32">
        <v>1754</v>
      </c>
      <c r="Q86" s="32">
        <v>898</v>
      </c>
      <c r="R86" s="32">
        <v>206</v>
      </c>
      <c r="S86" s="32">
        <v>103</v>
      </c>
      <c r="T86" s="32">
        <v>32</v>
      </c>
      <c r="U86" s="32">
        <v>229</v>
      </c>
      <c r="V86" s="32">
        <v>185</v>
      </c>
      <c r="W86" s="32">
        <v>118</v>
      </c>
      <c r="X86" s="32">
        <v>435</v>
      </c>
      <c r="Y86" s="32">
        <v>288</v>
      </c>
      <c r="Z86" s="32">
        <v>150</v>
      </c>
      <c r="AA86" s="32">
        <v>606</v>
      </c>
      <c r="AB86" s="32">
        <v>301</v>
      </c>
      <c r="AC86" s="32">
        <v>93</v>
      </c>
      <c r="AD86" s="32">
        <v>267</v>
      </c>
      <c r="AE86" s="32">
        <v>212</v>
      </c>
      <c r="AF86" s="32">
        <v>137</v>
      </c>
      <c r="AG86" s="32">
        <v>873</v>
      </c>
      <c r="AH86" s="32">
        <v>513</v>
      </c>
      <c r="AI86" s="32">
        <v>230</v>
      </c>
      <c r="AJ86" s="32">
        <v>873</v>
      </c>
      <c r="AK86" s="32">
        <v>1846</v>
      </c>
      <c r="AL86" s="32">
        <v>47.3</v>
      </c>
    </row>
    <row r="87" spans="1:38" ht="13.5" hidden="1" customHeight="1">
      <c r="A87" s="30" t="s">
        <v>1981</v>
      </c>
      <c r="B87" s="30" t="s">
        <v>2052</v>
      </c>
      <c r="C87" s="30" t="s">
        <v>235</v>
      </c>
      <c r="D87" s="30" t="s">
        <v>2012</v>
      </c>
      <c r="E87" s="30" t="s">
        <v>2015</v>
      </c>
      <c r="F87" s="30" t="s">
        <v>2015</v>
      </c>
      <c r="G87" s="30"/>
      <c r="H87" s="30" t="s">
        <v>2015</v>
      </c>
      <c r="I87" s="30" t="s">
        <v>2190</v>
      </c>
      <c r="J87" s="30" t="s">
        <v>2191</v>
      </c>
      <c r="K87" s="30" t="s">
        <v>2018</v>
      </c>
      <c r="L87" s="30" t="s">
        <v>2017</v>
      </c>
      <c r="M87" s="30" t="s">
        <v>2018</v>
      </c>
      <c r="N87" s="30" t="s">
        <v>2018</v>
      </c>
      <c r="O87" s="30" t="s">
        <v>2015</v>
      </c>
      <c r="P87" s="32">
        <v>1557</v>
      </c>
      <c r="Q87" s="32">
        <v>647</v>
      </c>
      <c r="R87" s="32">
        <v>207</v>
      </c>
      <c r="S87" s="32">
        <v>129</v>
      </c>
      <c r="T87" s="32">
        <v>65</v>
      </c>
      <c r="U87" s="32">
        <v>101</v>
      </c>
      <c r="V87" s="32">
        <v>68</v>
      </c>
      <c r="W87" s="32">
        <v>45</v>
      </c>
      <c r="X87" s="32">
        <v>308</v>
      </c>
      <c r="Y87" s="32">
        <v>197</v>
      </c>
      <c r="Z87" s="32">
        <v>110</v>
      </c>
      <c r="AA87" s="32">
        <v>602</v>
      </c>
      <c r="AB87" s="32">
        <v>373</v>
      </c>
      <c r="AC87" s="32">
        <v>188</v>
      </c>
      <c r="AD87" s="32">
        <v>129</v>
      </c>
      <c r="AE87" s="32">
        <v>88</v>
      </c>
      <c r="AF87" s="32">
        <v>59</v>
      </c>
      <c r="AG87" s="32">
        <v>731</v>
      </c>
      <c r="AH87" s="32">
        <v>461</v>
      </c>
      <c r="AI87" s="32">
        <v>247</v>
      </c>
      <c r="AJ87" s="32">
        <v>731</v>
      </c>
      <c r="AK87" s="32">
        <v>1550</v>
      </c>
      <c r="AL87" s="32">
        <v>47.2</v>
      </c>
    </row>
    <row r="88" spans="1:38" ht="13.5" hidden="1" customHeight="1">
      <c r="A88" s="30" t="s">
        <v>1981</v>
      </c>
      <c r="B88" s="30" t="s">
        <v>2052</v>
      </c>
      <c r="C88" s="30" t="s">
        <v>235</v>
      </c>
      <c r="D88" s="30" t="s">
        <v>2012</v>
      </c>
      <c r="E88" s="30" t="s">
        <v>2015</v>
      </c>
      <c r="F88" s="30" t="s">
        <v>2015</v>
      </c>
      <c r="G88" s="30"/>
      <c r="H88" s="30" t="s">
        <v>2015</v>
      </c>
      <c r="I88" s="30" t="s">
        <v>2192</v>
      </c>
      <c r="J88" s="30" t="s">
        <v>2193</v>
      </c>
      <c r="K88" s="30" t="s">
        <v>2018</v>
      </c>
      <c r="L88" s="30" t="s">
        <v>2017</v>
      </c>
      <c r="M88" s="30" t="s">
        <v>2018</v>
      </c>
      <c r="N88" s="30" t="s">
        <v>2018</v>
      </c>
      <c r="O88" s="30" t="s">
        <v>2015</v>
      </c>
      <c r="P88" s="32">
        <v>1580</v>
      </c>
      <c r="Q88" s="32">
        <v>626</v>
      </c>
      <c r="R88" s="32">
        <v>159</v>
      </c>
      <c r="S88" s="32">
        <v>48</v>
      </c>
      <c r="T88" s="32">
        <v>18</v>
      </c>
      <c r="U88" s="32">
        <v>118</v>
      </c>
      <c r="V88" s="32">
        <v>72</v>
      </c>
      <c r="W88" s="32">
        <v>34</v>
      </c>
      <c r="X88" s="32">
        <v>277</v>
      </c>
      <c r="Y88" s="32">
        <v>120</v>
      </c>
      <c r="Z88" s="32">
        <v>52</v>
      </c>
      <c r="AA88" s="32">
        <v>500</v>
      </c>
      <c r="AB88" s="32">
        <v>151</v>
      </c>
      <c r="AC88" s="32">
        <v>58</v>
      </c>
      <c r="AD88" s="32">
        <v>129</v>
      </c>
      <c r="AE88" s="32">
        <v>79</v>
      </c>
      <c r="AF88" s="32">
        <v>37</v>
      </c>
      <c r="AG88" s="32">
        <v>629</v>
      </c>
      <c r="AH88" s="32">
        <v>230</v>
      </c>
      <c r="AI88" s="32">
        <v>95</v>
      </c>
      <c r="AJ88" s="32">
        <v>629</v>
      </c>
      <c r="AK88" s="32">
        <v>1567</v>
      </c>
      <c r="AL88" s="32">
        <v>40.1</v>
      </c>
    </row>
    <row r="89" spans="1:38" ht="13.5" hidden="1" customHeight="1">
      <c r="A89" s="30" t="s">
        <v>1981</v>
      </c>
      <c r="B89" s="30" t="s">
        <v>2052</v>
      </c>
      <c r="C89" s="30" t="s">
        <v>235</v>
      </c>
      <c r="D89" s="30" t="s">
        <v>2012</v>
      </c>
      <c r="E89" s="30" t="s">
        <v>2015</v>
      </c>
      <c r="F89" s="30" t="s">
        <v>2015</v>
      </c>
      <c r="G89" s="30"/>
      <c r="H89" s="30" t="s">
        <v>2015</v>
      </c>
      <c r="I89" s="30" t="s">
        <v>2194</v>
      </c>
      <c r="J89" s="30" t="s">
        <v>2195</v>
      </c>
      <c r="K89" s="30" t="s">
        <v>2099</v>
      </c>
      <c r="L89" s="30" t="s">
        <v>2017</v>
      </c>
      <c r="M89" s="30" t="s">
        <v>2018</v>
      </c>
      <c r="N89" s="30" t="s">
        <v>2099</v>
      </c>
      <c r="O89" s="30" t="s">
        <v>2100</v>
      </c>
      <c r="P89" s="32">
        <v>4568</v>
      </c>
      <c r="Q89" s="32">
        <v>1890</v>
      </c>
      <c r="R89" s="32">
        <v>472</v>
      </c>
      <c r="S89" s="32">
        <v>157</v>
      </c>
      <c r="T89" s="32">
        <v>75</v>
      </c>
      <c r="U89" s="32">
        <v>339</v>
      </c>
      <c r="V89" s="32">
        <v>176</v>
      </c>
      <c r="W89" s="32">
        <v>88</v>
      </c>
      <c r="X89" s="32">
        <v>811</v>
      </c>
      <c r="Y89" s="32">
        <v>333</v>
      </c>
      <c r="Z89" s="32">
        <v>163</v>
      </c>
      <c r="AA89" s="32">
        <v>1431</v>
      </c>
      <c r="AB89" s="32">
        <v>469</v>
      </c>
      <c r="AC89" s="32">
        <v>234</v>
      </c>
      <c r="AD89" s="32">
        <v>412</v>
      </c>
      <c r="AE89" s="32">
        <v>207</v>
      </c>
      <c r="AF89" s="32">
        <v>101</v>
      </c>
      <c r="AG89" s="32">
        <v>1843</v>
      </c>
      <c r="AH89" s="32">
        <v>676</v>
      </c>
      <c r="AI89" s="32">
        <v>335</v>
      </c>
      <c r="AJ89" s="32">
        <v>1843</v>
      </c>
      <c r="AK89" s="32">
        <v>4555</v>
      </c>
      <c r="AL89" s="32">
        <v>40.5</v>
      </c>
    </row>
    <row r="90" spans="1:38" ht="13.5" hidden="1" customHeight="1">
      <c r="A90" s="30" t="s">
        <v>1981</v>
      </c>
      <c r="B90" s="30" t="s">
        <v>2052</v>
      </c>
      <c r="C90" s="30" t="s">
        <v>235</v>
      </c>
      <c r="D90" s="30" t="s">
        <v>2012</v>
      </c>
      <c r="E90" s="30" t="s">
        <v>2015</v>
      </c>
      <c r="F90" s="30" t="s">
        <v>2015</v>
      </c>
      <c r="G90" s="30"/>
      <c r="H90" s="30" t="s">
        <v>2015</v>
      </c>
      <c r="I90" s="30" t="s">
        <v>2196</v>
      </c>
      <c r="J90" s="30" t="s">
        <v>2197</v>
      </c>
      <c r="K90" s="30" t="s">
        <v>2018</v>
      </c>
      <c r="L90" s="30" t="s">
        <v>2017</v>
      </c>
      <c r="M90" s="30" t="s">
        <v>2018</v>
      </c>
      <c r="N90" s="30" t="s">
        <v>2018</v>
      </c>
      <c r="O90" s="30" t="s">
        <v>2015</v>
      </c>
      <c r="P90" s="32">
        <v>2623</v>
      </c>
      <c r="Q90" s="32">
        <v>1347</v>
      </c>
      <c r="R90" s="32">
        <v>335</v>
      </c>
      <c r="S90" s="32">
        <v>186</v>
      </c>
      <c r="T90" s="32">
        <v>90</v>
      </c>
      <c r="U90" s="32">
        <v>350</v>
      </c>
      <c r="V90" s="32">
        <v>209</v>
      </c>
      <c r="W90" s="32">
        <v>115</v>
      </c>
      <c r="X90" s="32">
        <v>685</v>
      </c>
      <c r="Y90" s="32">
        <v>395</v>
      </c>
      <c r="Z90" s="32">
        <v>205</v>
      </c>
      <c r="AA90" s="32">
        <v>943</v>
      </c>
      <c r="AB90" s="32">
        <v>523</v>
      </c>
      <c r="AC90" s="32">
        <v>250</v>
      </c>
      <c r="AD90" s="32">
        <v>400</v>
      </c>
      <c r="AE90" s="32">
        <v>237</v>
      </c>
      <c r="AF90" s="32">
        <v>130</v>
      </c>
      <c r="AG90" s="32">
        <v>1343</v>
      </c>
      <c r="AH90" s="32">
        <v>760</v>
      </c>
      <c r="AI90" s="32">
        <v>380</v>
      </c>
      <c r="AJ90" s="32">
        <v>1343</v>
      </c>
      <c r="AK90" s="32">
        <v>2457</v>
      </c>
      <c r="AL90" s="32">
        <v>54.7</v>
      </c>
    </row>
    <row r="91" spans="1:38" ht="13.5" hidden="1" customHeight="1">
      <c r="A91" s="30" t="s">
        <v>1981</v>
      </c>
      <c r="B91" s="30" t="s">
        <v>2052</v>
      </c>
      <c r="C91" s="30" t="s">
        <v>235</v>
      </c>
      <c r="D91" s="30" t="s">
        <v>2012</v>
      </c>
      <c r="E91" s="30" t="s">
        <v>2015</v>
      </c>
      <c r="F91" s="30" t="s">
        <v>2015</v>
      </c>
      <c r="G91" s="30"/>
      <c r="H91" s="30" t="s">
        <v>2015</v>
      </c>
      <c r="I91" s="30" t="s">
        <v>2198</v>
      </c>
      <c r="J91" s="30" t="s">
        <v>2199</v>
      </c>
      <c r="K91" s="30" t="s">
        <v>2018</v>
      </c>
      <c r="L91" s="30" t="s">
        <v>2017</v>
      </c>
      <c r="M91" s="30" t="s">
        <v>2018</v>
      </c>
      <c r="N91" s="30" t="s">
        <v>2018</v>
      </c>
      <c r="O91" s="30" t="s">
        <v>2015</v>
      </c>
      <c r="P91" s="32">
        <v>2758</v>
      </c>
      <c r="Q91" s="32">
        <v>1318</v>
      </c>
      <c r="R91" s="32">
        <v>318</v>
      </c>
      <c r="S91" s="32">
        <v>157</v>
      </c>
      <c r="T91" s="32">
        <v>79</v>
      </c>
      <c r="U91" s="32">
        <v>210</v>
      </c>
      <c r="V91" s="32">
        <v>132</v>
      </c>
      <c r="W91" s="32">
        <v>51</v>
      </c>
      <c r="X91" s="32">
        <v>528</v>
      </c>
      <c r="Y91" s="32">
        <v>289</v>
      </c>
      <c r="Z91" s="32">
        <v>130</v>
      </c>
      <c r="AA91" s="32">
        <v>975</v>
      </c>
      <c r="AB91" s="32">
        <v>476</v>
      </c>
      <c r="AC91" s="32">
        <v>237</v>
      </c>
      <c r="AD91" s="32">
        <v>273</v>
      </c>
      <c r="AE91" s="32">
        <v>175</v>
      </c>
      <c r="AF91" s="32">
        <v>64</v>
      </c>
      <c r="AG91" s="32">
        <v>1248</v>
      </c>
      <c r="AH91" s="32">
        <v>651</v>
      </c>
      <c r="AI91" s="32">
        <v>301</v>
      </c>
      <c r="AJ91" s="32">
        <v>1248</v>
      </c>
      <c r="AK91" s="32">
        <v>2848</v>
      </c>
      <c r="AL91" s="32">
        <v>43.8</v>
      </c>
    </row>
    <row r="92" spans="1:38" ht="13.5" hidden="1" customHeight="1">
      <c r="A92" s="30" t="s">
        <v>1981</v>
      </c>
      <c r="B92" s="30" t="s">
        <v>2052</v>
      </c>
      <c r="C92" s="30" t="s">
        <v>235</v>
      </c>
      <c r="D92" s="30" t="s">
        <v>2012</v>
      </c>
      <c r="E92" s="30" t="s">
        <v>2015</v>
      </c>
      <c r="F92" s="30" t="s">
        <v>2015</v>
      </c>
      <c r="G92" s="30"/>
      <c r="H92" s="30" t="s">
        <v>2015</v>
      </c>
      <c r="I92" s="30" t="s">
        <v>2200</v>
      </c>
      <c r="J92" s="30" t="s">
        <v>2201</v>
      </c>
      <c r="K92" s="30" t="s">
        <v>2099</v>
      </c>
      <c r="L92" s="30" t="s">
        <v>2017</v>
      </c>
      <c r="M92" s="30" t="s">
        <v>2018</v>
      </c>
      <c r="N92" s="30" t="s">
        <v>2099</v>
      </c>
      <c r="O92" s="30" t="s">
        <v>2100</v>
      </c>
      <c r="P92" s="32">
        <v>8856</v>
      </c>
      <c r="Q92" s="32">
        <v>6222</v>
      </c>
      <c r="R92" s="32">
        <v>865</v>
      </c>
      <c r="S92" s="32">
        <v>428</v>
      </c>
      <c r="T92" s="32">
        <v>235</v>
      </c>
      <c r="U92" s="32">
        <v>1395</v>
      </c>
      <c r="V92" s="32">
        <v>907</v>
      </c>
      <c r="W92" s="32">
        <v>474</v>
      </c>
      <c r="X92" s="32">
        <v>2260</v>
      </c>
      <c r="Y92" s="32">
        <v>1335</v>
      </c>
      <c r="Z92" s="32">
        <v>709</v>
      </c>
      <c r="AA92" s="32">
        <v>2456</v>
      </c>
      <c r="AB92" s="32">
        <v>1223</v>
      </c>
      <c r="AC92" s="32">
        <v>672</v>
      </c>
      <c r="AD92" s="32">
        <v>1723</v>
      </c>
      <c r="AE92" s="32">
        <v>1121</v>
      </c>
      <c r="AF92" s="32">
        <v>583</v>
      </c>
      <c r="AG92" s="32">
        <v>4179</v>
      </c>
      <c r="AH92" s="32">
        <v>2344</v>
      </c>
      <c r="AI92" s="32">
        <v>1255</v>
      </c>
      <c r="AJ92" s="32">
        <v>4179</v>
      </c>
      <c r="AK92" s="32">
        <v>8823</v>
      </c>
      <c r="AL92" s="32">
        <v>47.4</v>
      </c>
    </row>
    <row r="93" spans="1:38" ht="13.5" hidden="1" customHeight="1">
      <c r="A93" s="30" t="s">
        <v>1981</v>
      </c>
      <c r="B93" s="30" t="s">
        <v>2052</v>
      </c>
      <c r="C93" s="30" t="s">
        <v>235</v>
      </c>
      <c r="D93" s="30" t="s">
        <v>2012</v>
      </c>
      <c r="E93" s="30" t="s">
        <v>2015</v>
      </c>
      <c r="F93" s="30" t="s">
        <v>2015</v>
      </c>
      <c r="G93" s="30"/>
      <c r="H93" s="30" t="s">
        <v>2015</v>
      </c>
      <c r="I93" s="30" t="s">
        <v>2202</v>
      </c>
      <c r="J93" s="30" t="s">
        <v>2203</v>
      </c>
      <c r="K93" s="30" t="s">
        <v>2038</v>
      </c>
      <c r="L93" s="30" t="s">
        <v>2017</v>
      </c>
      <c r="M93" s="30" t="s">
        <v>2018</v>
      </c>
      <c r="N93" s="30" t="s">
        <v>2038</v>
      </c>
      <c r="O93" s="30" t="s">
        <v>2039</v>
      </c>
      <c r="P93" s="32">
        <v>8130</v>
      </c>
      <c r="Q93" s="32">
        <v>3686</v>
      </c>
      <c r="R93" s="32">
        <v>809</v>
      </c>
      <c r="S93" s="32">
        <v>461</v>
      </c>
      <c r="T93" s="32">
        <v>268</v>
      </c>
      <c r="U93" s="32">
        <v>1066</v>
      </c>
      <c r="V93" s="32">
        <v>799</v>
      </c>
      <c r="W93" s="32">
        <v>479</v>
      </c>
      <c r="X93" s="32">
        <v>1875</v>
      </c>
      <c r="Y93" s="32">
        <v>1260</v>
      </c>
      <c r="Z93" s="32">
        <v>747</v>
      </c>
      <c r="AA93" s="32">
        <v>2374</v>
      </c>
      <c r="AB93" s="32">
        <v>1343</v>
      </c>
      <c r="AC93" s="32">
        <v>773</v>
      </c>
      <c r="AD93" s="32">
        <v>1476</v>
      </c>
      <c r="AE93" s="32">
        <v>1095</v>
      </c>
      <c r="AF93" s="32">
        <v>644</v>
      </c>
      <c r="AG93" s="32">
        <v>3850</v>
      </c>
      <c r="AH93" s="32">
        <v>2438</v>
      </c>
      <c r="AI93" s="32">
        <v>1417</v>
      </c>
      <c r="AJ93" s="32">
        <v>3850</v>
      </c>
      <c r="AK93" s="32">
        <v>7889</v>
      </c>
      <c r="AL93" s="32">
        <v>48.8</v>
      </c>
    </row>
    <row r="94" spans="1:38" ht="13.5" hidden="1" customHeight="1">
      <c r="A94" s="30" t="s">
        <v>1981</v>
      </c>
      <c r="B94" s="30" t="s">
        <v>2052</v>
      </c>
      <c r="C94" s="30" t="s">
        <v>235</v>
      </c>
      <c r="D94" s="30" t="s">
        <v>2012</v>
      </c>
      <c r="E94" s="30" t="s">
        <v>2015</v>
      </c>
      <c r="F94" s="30" t="s">
        <v>2015</v>
      </c>
      <c r="G94" s="30"/>
      <c r="H94" s="30" t="s">
        <v>2015</v>
      </c>
      <c r="I94" s="30" t="s">
        <v>2204</v>
      </c>
      <c r="J94" s="30" t="s">
        <v>2205</v>
      </c>
      <c r="K94" s="30" t="s">
        <v>2038</v>
      </c>
      <c r="L94" s="30" t="s">
        <v>2017</v>
      </c>
      <c r="M94" s="30" t="s">
        <v>2018</v>
      </c>
      <c r="N94" s="30" t="s">
        <v>2038</v>
      </c>
      <c r="O94" s="30" t="s">
        <v>2039</v>
      </c>
      <c r="P94" s="32">
        <v>8253</v>
      </c>
      <c r="Q94" s="32">
        <v>2472</v>
      </c>
      <c r="R94" s="32">
        <v>308</v>
      </c>
      <c r="S94" s="32">
        <v>198</v>
      </c>
      <c r="T94" s="32">
        <v>130</v>
      </c>
      <c r="U94" s="32">
        <v>880</v>
      </c>
      <c r="V94" s="32">
        <v>645</v>
      </c>
      <c r="W94" s="32">
        <v>366</v>
      </c>
      <c r="X94" s="32">
        <v>1188</v>
      </c>
      <c r="Y94" s="32">
        <v>843</v>
      </c>
      <c r="Z94" s="32">
        <v>496</v>
      </c>
      <c r="AA94" s="32">
        <v>909</v>
      </c>
      <c r="AB94" s="32">
        <v>589</v>
      </c>
      <c r="AC94" s="32">
        <v>389</v>
      </c>
      <c r="AD94" s="32">
        <v>1424</v>
      </c>
      <c r="AE94" s="32">
        <v>1040</v>
      </c>
      <c r="AF94" s="32">
        <v>591</v>
      </c>
      <c r="AG94" s="32">
        <v>2333</v>
      </c>
      <c r="AH94" s="32">
        <v>1629</v>
      </c>
      <c r="AI94" s="32">
        <v>980</v>
      </c>
      <c r="AJ94" s="32">
        <v>2333</v>
      </c>
      <c r="AK94" s="32">
        <v>5159</v>
      </c>
      <c r="AL94" s="32">
        <v>45.2</v>
      </c>
    </row>
    <row r="95" spans="1:38" ht="13.5" hidden="1" customHeight="1">
      <c r="A95" s="30" t="s">
        <v>1981</v>
      </c>
      <c r="B95" s="30" t="s">
        <v>2052</v>
      </c>
      <c r="C95" s="30" t="s">
        <v>235</v>
      </c>
      <c r="D95" s="30" t="s">
        <v>2012</v>
      </c>
      <c r="E95" s="30" t="s">
        <v>2015</v>
      </c>
      <c r="F95" s="30" t="s">
        <v>2015</v>
      </c>
      <c r="G95" s="30"/>
      <c r="H95" s="30" t="s">
        <v>2015</v>
      </c>
      <c r="I95" s="30" t="s">
        <v>2206</v>
      </c>
      <c r="J95" s="30" t="s">
        <v>2207</v>
      </c>
      <c r="K95" s="30" t="s">
        <v>2018</v>
      </c>
      <c r="L95" s="30" t="s">
        <v>2017</v>
      </c>
      <c r="M95" s="30" t="s">
        <v>2018</v>
      </c>
      <c r="N95" s="30" t="s">
        <v>2018</v>
      </c>
      <c r="O95" s="30" t="s">
        <v>2015</v>
      </c>
      <c r="P95" s="32">
        <v>1300</v>
      </c>
      <c r="Q95" s="32">
        <v>620</v>
      </c>
      <c r="R95" s="32">
        <v>154</v>
      </c>
      <c r="S95" s="32">
        <v>47</v>
      </c>
      <c r="T95" s="32">
        <v>11</v>
      </c>
      <c r="U95" s="32">
        <v>59</v>
      </c>
      <c r="V95" s="32">
        <v>53</v>
      </c>
      <c r="W95" s="32">
        <v>21</v>
      </c>
      <c r="X95" s="32">
        <v>213</v>
      </c>
      <c r="Y95" s="32">
        <v>100</v>
      </c>
      <c r="Z95" s="32">
        <v>32</v>
      </c>
      <c r="AA95" s="32">
        <v>526</v>
      </c>
      <c r="AB95" s="32">
        <v>156</v>
      </c>
      <c r="AC95" s="32">
        <v>36</v>
      </c>
      <c r="AD95" s="32">
        <v>69</v>
      </c>
      <c r="AE95" s="32">
        <v>61</v>
      </c>
      <c r="AF95" s="32">
        <v>24</v>
      </c>
      <c r="AG95" s="32">
        <v>595</v>
      </c>
      <c r="AH95" s="32">
        <v>217</v>
      </c>
      <c r="AI95" s="32">
        <v>60</v>
      </c>
      <c r="AJ95" s="32">
        <v>595</v>
      </c>
      <c r="AK95" s="32">
        <v>1379</v>
      </c>
      <c r="AL95" s="32">
        <v>43.1</v>
      </c>
    </row>
    <row r="96" spans="1:38" ht="13.5" hidden="1" customHeight="1">
      <c r="A96" s="30" t="s">
        <v>1981</v>
      </c>
      <c r="B96" s="30" t="s">
        <v>2052</v>
      </c>
      <c r="C96" s="30" t="s">
        <v>235</v>
      </c>
      <c r="D96" s="30" t="s">
        <v>2012</v>
      </c>
      <c r="E96" s="30" t="s">
        <v>2015</v>
      </c>
      <c r="F96" s="30" t="s">
        <v>2015</v>
      </c>
      <c r="G96" s="30"/>
      <c r="H96" s="30" t="s">
        <v>2015</v>
      </c>
      <c r="I96" s="30" t="s">
        <v>2208</v>
      </c>
      <c r="J96" s="30" t="s">
        <v>2209</v>
      </c>
      <c r="K96" s="30" t="s">
        <v>2018</v>
      </c>
      <c r="L96" s="30" t="s">
        <v>2017</v>
      </c>
      <c r="M96" s="30" t="s">
        <v>2018</v>
      </c>
      <c r="N96" s="30" t="s">
        <v>2018</v>
      </c>
      <c r="O96" s="30" t="s">
        <v>2015</v>
      </c>
      <c r="P96" s="32">
        <v>3217</v>
      </c>
      <c r="Q96" s="32">
        <v>1343</v>
      </c>
      <c r="R96" s="32">
        <v>363</v>
      </c>
      <c r="S96" s="32">
        <v>191</v>
      </c>
      <c r="T96" s="32">
        <v>90</v>
      </c>
      <c r="U96" s="32">
        <v>227</v>
      </c>
      <c r="V96" s="32">
        <v>125</v>
      </c>
      <c r="W96" s="32">
        <v>62</v>
      </c>
      <c r="X96" s="32">
        <v>590</v>
      </c>
      <c r="Y96" s="32">
        <v>316</v>
      </c>
      <c r="Z96" s="32">
        <v>152</v>
      </c>
      <c r="AA96" s="32">
        <v>1134</v>
      </c>
      <c r="AB96" s="32">
        <v>589</v>
      </c>
      <c r="AC96" s="32">
        <v>279</v>
      </c>
      <c r="AD96" s="32">
        <v>276</v>
      </c>
      <c r="AE96" s="32">
        <v>154</v>
      </c>
      <c r="AF96" s="32">
        <v>75</v>
      </c>
      <c r="AG96" s="32">
        <v>1410</v>
      </c>
      <c r="AH96" s="32">
        <v>743</v>
      </c>
      <c r="AI96" s="32">
        <v>354</v>
      </c>
      <c r="AJ96" s="32">
        <v>1410</v>
      </c>
      <c r="AK96" s="32">
        <v>3151</v>
      </c>
      <c r="AL96" s="32">
        <v>44.7</v>
      </c>
    </row>
    <row r="97" spans="1:38" ht="13.5" hidden="1" customHeight="1">
      <c r="A97" s="30" t="s">
        <v>1981</v>
      </c>
      <c r="B97" s="30" t="s">
        <v>2052</v>
      </c>
      <c r="C97" s="30" t="s">
        <v>235</v>
      </c>
      <c r="D97" s="30" t="s">
        <v>2012</v>
      </c>
      <c r="E97" s="30" t="s">
        <v>2015</v>
      </c>
      <c r="F97" s="30" t="s">
        <v>2015</v>
      </c>
      <c r="G97" s="30"/>
      <c r="H97" s="30" t="s">
        <v>2015</v>
      </c>
      <c r="I97" s="30" t="s">
        <v>2210</v>
      </c>
      <c r="J97" s="30" t="s">
        <v>2211</v>
      </c>
      <c r="K97" s="30" t="s">
        <v>2018</v>
      </c>
      <c r="L97" s="30" t="s">
        <v>2017</v>
      </c>
      <c r="M97" s="30" t="s">
        <v>2018</v>
      </c>
      <c r="N97" s="30" t="s">
        <v>2018</v>
      </c>
      <c r="O97" s="30" t="s">
        <v>2015</v>
      </c>
      <c r="P97" s="32">
        <v>9511</v>
      </c>
      <c r="Q97" s="32">
        <v>4405</v>
      </c>
      <c r="R97" s="32">
        <v>915</v>
      </c>
      <c r="S97" s="32">
        <v>445</v>
      </c>
      <c r="T97" s="32">
        <v>199</v>
      </c>
      <c r="U97" s="32">
        <v>1108</v>
      </c>
      <c r="V97" s="32">
        <v>783</v>
      </c>
      <c r="W97" s="32">
        <v>542</v>
      </c>
      <c r="X97" s="32">
        <v>2023</v>
      </c>
      <c r="Y97" s="32">
        <v>1228</v>
      </c>
      <c r="Z97" s="32">
        <v>741</v>
      </c>
      <c r="AA97" s="32">
        <v>2683</v>
      </c>
      <c r="AB97" s="32">
        <v>1314</v>
      </c>
      <c r="AC97" s="32">
        <v>594</v>
      </c>
      <c r="AD97" s="32">
        <v>1306</v>
      </c>
      <c r="AE97" s="32">
        <v>917</v>
      </c>
      <c r="AF97" s="32">
        <v>631</v>
      </c>
      <c r="AG97" s="32">
        <v>3989</v>
      </c>
      <c r="AH97" s="32">
        <v>2231</v>
      </c>
      <c r="AI97" s="32">
        <v>1225</v>
      </c>
      <c r="AJ97" s="32">
        <v>3989</v>
      </c>
      <c r="AK97" s="32">
        <v>8935</v>
      </c>
      <c r="AL97" s="32">
        <v>44.6</v>
      </c>
    </row>
    <row r="98" spans="1:38" ht="13.5" hidden="1" customHeight="1">
      <c r="A98" s="30" t="s">
        <v>1981</v>
      </c>
      <c r="B98" s="30" t="s">
        <v>2052</v>
      </c>
      <c r="C98" s="30" t="s">
        <v>235</v>
      </c>
      <c r="D98" s="30" t="s">
        <v>2012</v>
      </c>
      <c r="E98" s="30" t="s">
        <v>2015</v>
      </c>
      <c r="F98" s="30" t="s">
        <v>2015</v>
      </c>
      <c r="G98" s="30"/>
      <c r="H98" s="30" t="s">
        <v>2015</v>
      </c>
      <c r="I98" s="30" t="s">
        <v>2212</v>
      </c>
      <c r="J98" s="30" t="s">
        <v>2213</v>
      </c>
      <c r="K98" s="30" t="s">
        <v>2018</v>
      </c>
      <c r="L98" s="30" t="s">
        <v>2017</v>
      </c>
      <c r="M98" s="30" t="s">
        <v>2018</v>
      </c>
      <c r="N98" s="30" t="s">
        <v>2018</v>
      </c>
      <c r="O98" s="30" t="s">
        <v>2015</v>
      </c>
      <c r="P98" s="32">
        <v>1911</v>
      </c>
      <c r="Q98" s="32">
        <v>884</v>
      </c>
      <c r="R98" s="32">
        <v>216</v>
      </c>
      <c r="S98" s="32">
        <v>111</v>
      </c>
      <c r="T98" s="32">
        <v>48</v>
      </c>
      <c r="U98" s="32">
        <v>197</v>
      </c>
      <c r="V98" s="32">
        <v>117</v>
      </c>
      <c r="W98" s="32">
        <v>68</v>
      </c>
      <c r="X98" s="32">
        <v>413</v>
      </c>
      <c r="Y98" s="32">
        <v>228</v>
      </c>
      <c r="Z98" s="32">
        <v>116</v>
      </c>
      <c r="AA98" s="32">
        <v>620</v>
      </c>
      <c r="AB98" s="32">
        <v>321</v>
      </c>
      <c r="AC98" s="32">
        <v>139</v>
      </c>
      <c r="AD98" s="32">
        <v>247</v>
      </c>
      <c r="AE98" s="32">
        <v>147</v>
      </c>
      <c r="AF98" s="32">
        <v>86</v>
      </c>
      <c r="AG98" s="32">
        <v>867</v>
      </c>
      <c r="AH98" s="32">
        <v>468</v>
      </c>
      <c r="AI98" s="32">
        <v>225</v>
      </c>
      <c r="AJ98" s="32">
        <v>867</v>
      </c>
      <c r="AK98" s="32">
        <v>1963</v>
      </c>
      <c r="AL98" s="32">
        <v>44.2</v>
      </c>
    </row>
    <row r="99" spans="1:38" ht="13.5" hidden="1" customHeight="1">
      <c r="A99" s="30" t="s">
        <v>1981</v>
      </c>
      <c r="B99" s="30" t="s">
        <v>2052</v>
      </c>
      <c r="C99" s="30" t="s">
        <v>235</v>
      </c>
      <c r="D99" s="30" t="s">
        <v>2012</v>
      </c>
      <c r="E99" s="30" t="s">
        <v>2015</v>
      </c>
      <c r="F99" s="30" t="s">
        <v>2015</v>
      </c>
      <c r="G99" s="30"/>
      <c r="H99" s="30" t="s">
        <v>2015</v>
      </c>
      <c r="I99" s="30" t="s">
        <v>2214</v>
      </c>
      <c r="J99" s="30" t="s">
        <v>2215</v>
      </c>
      <c r="K99" s="30" t="s">
        <v>2018</v>
      </c>
      <c r="L99" s="30" t="s">
        <v>2017</v>
      </c>
      <c r="M99" s="30" t="s">
        <v>2018</v>
      </c>
      <c r="N99" s="30" t="s">
        <v>2018</v>
      </c>
      <c r="O99" s="30" t="s">
        <v>2015</v>
      </c>
      <c r="P99" s="32">
        <v>1864</v>
      </c>
      <c r="Q99" s="32">
        <v>840</v>
      </c>
      <c r="R99" s="32">
        <v>225</v>
      </c>
      <c r="S99" s="32">
        <v>116</v>
      </c>
      <c r="T99" s="32">
        <v>101</v>
      </c>
      <c r="U99" s="32">
        <v>165</v>
      </c>
      <c r="V99" s="32">
        <v>105</v>
      </c>
      <c r="W99" s="32">
        <v>61</v>
      </c>
      <c r="X99" s="32">
        <v>390</v>
      </c>
      <c r="Y99" s="32">
        <v>221</v>
      </c>
      <c r="Z99" s="32">
        <v>162</v>
      </c>
      <c r="AA99" s="32">
        <v>741</v>
      </c>
      <c r="AB99" s="32">
        <v>378</v>
      </c>
      <c r="AC99" s="32">
        <v>329</v>
      </c>
      <c r="AD99" s="32">
        <v>189</v>
      </c>
      <c r="AE99" s="32">
        <v>121</v>
      </c>
      <c r="AF99" s="32">
        <v>71</v>
      </c>
      <c r="AG99" s="32">
        <v>930</v>
      </c>
      <c r="AH99" s="32">
        <v>499</v>
      </c>
      <c r="AI99" s="32">
        <v>400</v>
      </c>
      <c r="AJ99" s="32">
        <v>930</v>
      </c>
      <c r="AK99" s="32">
        <v>1905</v>
      </c>
      <c r="AL99" s="32">
        <v>48.8</v>
      </c>
    </row>
    <row r="100" spans="1:38" ht="13.5" hidden="1" customHeight="1">
      <c r="A100" s="30" t="s">
        <v>1981</v>
      </c>
      <c r="B100" s="30" t="s">
        <v>2052</v>
      </c>
      <c r="C100" s="30" t="s">
        <v>235</v>
      </c>
      <c r="D100" s="30" t="s">
        <v>2012</v>
      </c>
      <c r="E100" s="30" t="s">
        <v>2015</v>
      </c>
      <c r="F100" s="30" t="s">
        <v>2015</v>
      </c>
      <c r="G100" s="30"/>
      <c r="H100" s="30" t="s">
        <v>2015</v>
      </c>
      <c r="I100" s="30" t="s">
        <v>2216</v>
      </c>
      <c r="J100" s="30" t="s">
        <v>2217</v>
      </c>
      <c r="K100" s="30" t="s">
        <v>2018</v>
      </c>
      <c r="L100" s="30" t="s">
        <v>2017</v>
      </c>
      <c r="M100" s="30" t="s">
        <v>2018</v>
      </c>
      <c r="N100" s="30" t="s">
        <v>2018</v>
      </c>
      <c r="O100" s="30" t="s">
        <v>2015</v>
      </c>
      <c r="P100" s="32">
        <v>7609</v>
      </c>
      <c r="Q100" s="32">
        <v>3752</v>
      </c>
      <c r="R100" s="32">
        <v>841</v>
      </c>
      <c r="S100" s="32">
        <v>424</v>
      </c>
      <c r="T100" s="32">
        <v>183</v>
      </c>
      <c r="U100" s="32">
        <v>995</v>
      </c>
      <c r="V100" s="32">
        <v>759</v>
      </c>
      <c r="W100" s="32">
        <v>408</v>
      </c>
      <c r="X100" s="32">
        <v>1836</v>
      </c>
      <c r="Y100" s="32">
        <v>1183</v>
      </c>
      <c r="Z100" s="32">
        <v>591</v>
      </c>
      <c r="AA100" s="32">
        <v>2444</v>
      </c>
      <c r="AB100" s="32">
        <v>1239</v>
      </c>
      <c r="AC100" s="32">
        <v>545</v>
      </c>
      <c r="AD100" s="32">
        <v>1182</v>
      </c>
      <c r="AE100" s="32">
        <v>899</v>
      </c>
      <c r="AF100" s="32">
        <v>483</v>
      </c>
      <c r="AG100" s="32">
        <v>3626</v>
      </c>
      <c r="AH100" s="32">
        <v>2138</v>
      </c>
      <c r="AI100" s="32">
        <v>1028</v>
      </c>
      <c r="AJ100" s="32">
        <v>3626</v>
      </c>
      <c r="AK100" s="32">
        <v>7392</v>
      </c>
      <c r="AL100" s="32">
        <v>49.1</v>
      </c>
    </row>
    <row r="101" spans="1:38" ht="13.5" hidden="1" customHeight="1">
      <c r="A101" s="30" t="s">
        <v>1981</v>
      </c>
      <c r="B101" s="30" t="s">
        <v>2052</v>
      </c>
      <c r="C101" s="30" t="s">
        <v>235</v>
      </c>
      <c r="D101" s="30" t="s">
        <v>2012</v>
      </c>
      <c r="E101" s="30" t="s">
        <v>2015</v>
      </c>
      <c r="F101" s="30" t="s">
        <v>2015</v>
      </c>
      <c r="G101" s="30"/>
      <c r="H101" s="30" t="s">
        <v>2015</v>
      </c>
      <c r="I101" s="30" t="s">
        <v>2218</v>
      </c>
      <c r="J101" s="30" t="s">
        <v>2219</v>
      </c>
      <c r="K101" s="30" t="s">
        <v>2018</v>
      </c>
      <c r="L101" s="30" t="s">
        <v>2017</v>
      </c>
      <c r="M101" s="30" t="s">
        <v>2018</v>
      </c>
      <c r="N101" s="30" t="s">
        <v>2018</v>
      </c>
      <c r="O101" s="30" t="s">
        <v>2015</v>
      </c>
      <c r="P101" s="32">
        <v>4795</v>
      </c>
      <c r="Q101" s="32">
        <v>2542</v>
      </c>
      <c r="R101" s="32">
        <v>644</v>
      </c>
      <c r="S101" s="32">
        <v>331</v>
      </c>
      <c r="T101" s="32">
        <v>166</v>
      </c>
      <c r="U101" s="32">
        <v>654</v>
      </c>
      <c r="V101" s="32">
        <v>471</v>
      </c>
      <c r="W101" s="32">
        <v>273</v>
      </c>
      <c r="X101" s="32">
        <v>1298</v>
      </c>
      <c r="Y101" s="32">
        <v>802</v>
      </c>
      <c r="Z101" s="32">
        <v>439</v>
      </c>
      <c r="AA101" s="32">
        <v>1812</v>
      </c>
      <c r="AB101" s="32">
        <v>942</v>
      </c>
      <c r="AC101" s="32">
        <v>474</v>
      </c>
      <c r="AD101" s="32">
        <v>719</v>
      </c>
      <c r="AE101" s="32">
        <v>513</v>
      </c>
      <c r="AF101" s="32">
        <v>294</v>
      </c>
      <c r="AG101" s="32">
        <v>2531</v>
      </c>
      <c r="AH101" s="32">
        <v>1455</v>
      </c>
      <c r="AI101" s="32">
        <v>768</v>
      </c>
      <c r="AJ101" s="32">
        <v>2531</v>
      </c>
      <c r="AK101" s="32">
        <v>4628</v>
      </c>
      <c r="AL101" s="32">
        <v>54.7</v>
      </c>
    </row>
    <row r="102" spans="1:38" ht="13.5" hidden="1" customHeight="1">
      <c r="A102" s="30" t="s">
        <v>1981</v>
      </c>
      <c r="B102" s="30" t="s">
        <v>2052</v>
      </c>
      <c r="C102" s="30" t="s">
        <v>235</v>
      </c>
      <c r="D102" s="30" t="s">
        <v>2012</v>
      </c>
      <c r="E102" s="30" t="s">
        <v>2015</v>
      </c>
      <c r="F102" s="30" t="s">
        <v>2015</v>
      </c>
      <c r="G102" s="30"/>
      <c r="H102" s="30" t="s">
        <v>2015</v>
      </c>
      <c r="I102" s="30" t="s">
        <v>2220</v>
      </c>
      <c r="J102" s="30" t="s">
        <v>2221</v>
      </c>
      <c r="K102" s="30" t="s">
        <v>2018</v>
      </c>
      <c r="L102" s="30" t="s">
        <v>2017</v>
      </c>
      <c r="M102" s="30" t="s">
        <v>2018</v>
      </c>
      <c r="N102" s="30" t="s">
        <v>2018</v>
      </c>
      <c r="O102" s="30" t="s">
        <v>2015</v>
      </c>
      <c r="P102" s="32">
        <v>16822</v>
      </c>
      <c r="Q102" s="32">
        <v>7424</v>
      </c>
      <c r="R102" s="32">
        <v>1371</v>
      </c>
      <c r="S102" s="32">
        <v>788</v>
      </c>
      <c r="T102" s="32">
        <v>359</v>
      </c>
      <c r="U102" s="32">
        <v>1359</v>
      </c>
      <c r="V102" s="32">
        <v>825</v>
      </c>
      <c r="W102" s="32">
        <v>458</v>
      </c>
      <c r="X102" s="32">
        <v>2730</v>
      </c>
      <c r="Y102" s="32">
        <v>1613</v>
      </c>
      <c r="Z102" s="32">
        <v>817</v>
      </c>
      <c r="AA102" s="32">
        <v>4127</v>
      </c>
      <c r="AB102" s="32">
        <v>2358</v>
      </c>
      <c r="AC102" s="32">
        <v>1083</v>
      </c>
      <c r="AD102" s="32">
        <v>1721</v>
      </c>
      <c r="AE102" s="32">
        <v>1050</v>
      </c>
      <c r="AF102" s="32">
        <v>587</v>
      </c>
      <c r="AG102" s="32">
        <v>5848</v>
      </c>
      <c r="AH102" s="32">
        <v>3408</v>
      </c>
      <c r="AI102" s="32">
        <v>1670</v>
      </c>
      <c r="AJ102" s="32">
        <v>5848</v>
      </c>
      <c r="AK102" s="32">
        <v>16582</v>
      </c>
      <c r="AL102" s="32">
        <v>35.299999999999997</v>
      </c>
    </row>
    <row r="103" spans="1:38" ht="13.5" hidden="1" customHeight="1">
      <c r="A103" s="30" t="s">
        <v>1981</v>
      </c>
      <c r="B103" s="30" t="s">
        <v>2052</v>
      </c>
      <c r="C103" s="30" t="s">
        <v>235</v>
      </c>
      <c r="D103" s="30" t="s">
        <v>2012</v>
      </c>
      <c r="E103" s="30" t="s">
        <v>2015</v>
      </c>
      <c r="F103" s="30" t="s">
        <v>2015</v>
      </c>
      <c r="G103" s="30"/>
      <c r="H103" s="30" t="s">
        <v>2015</v>
      </c>
      <c r="I103" s="30" t="s">
        <v>2222</v>
      </c>
      <c r="J103" s="30" t="s">
        <v>2223</v>
      </c>
      <c r="K103" s="30" t="s">
        <v>2018</v>
      </c>
      <c r="L103" s="30" t="s">
        <v>2017</v>
      </c>
      <c r="M103" s="30" t="s">
        <v>2018</v>
      </c>
      <c r="N103" s="30" t="s">
        <v>2018</v>
      </c>
      <c r="O103" s="30" t="s">
        <v>2015</v>
      </c>
      <c r="P103" s="32">
        <v>10133</v>
      </c>
      <c r="Q103" s="32">
        <v>4338</v>
      </c>
      <c r="R103" s="32">
        <v>1355</v>
      </c>
      <c r="S103" s="32">
        <v>824</v>
      </c>
      <c r="T103" s="32">
        <v>394</v>
      </c>
      <c r="U103" s="32">
        <v>1080</v>
      </c>
      <c r="V103" s="32">
        <v>740</v>
      </c>
      <c r="W103" s="32">
        <v>436</v>
      </c>
      <c r="X103" s="32">
        <v>2435</v>
      </c>
      <c r="Y103" s="32">
        <v>1564</v>
      </c>
      <c r="Z103" s="32">
        <v>830</v>
      </c>
      <c r="AA103" s="32">
        <v>4280</v>
      </c>
      <c r="AB103" s="32">
        <v>2600</v>
      </c>
      <c r="AC103" s="32">
        <v>1246</v>
      </c>
      <c r="AD103" s="32">
        <v>1305</v>
      </c>
      <c r="AE103" s="32">
        <v>892</v>
      </c>
      <c r="AF103" s="32">
        <v>522</v>
      </c>
      <c r="AG103" s="32">
        <v>5585</v>
      </c>
      <c r="AH103" s="32">
        <v>3492</v>
      </c>
      <c r="AI103" s="32">
        <v>1768</v>
      </c>
      <c r="AJ103" s="32">
        <v>5585</v>
      </c>
      <c r="AK103" s="32">
        <v>10188</v>
      </c>
      <c r="AL103" s="32">
        <v>54.8</v>
      </c>
    </row>
    <row r="104" spans="1:38" ht="13.5" hidden="1" customHeight="1">
      <c r="A104" s="30" t="s">
        <v>1981</v>
      </c>
      <c r="B104" s="30" t="s">
        <v>2052</v>
      </c>
      <c r="C104" s="30" t="s">
        <v>235</v>
      </c>
      <c r="D104" s="30" t="s">
        <v>2012</v>
      </c>
      <c r="E104" s="30" t="s">
        <v>2015</v>
      </c>
      <c r="F104" s="30" t="s">
        <v>2015</v>
      </c>
      <c r="G104" s="30"/>
      <c r="H104" s="30" t="s">
        <v>2015</v>
      </c>
      <c r="I104" s="30" t="s">
        <v>2224</v>
      </c>
      <c r="J104" s="30" t="s">
        <v>2225</v>
      </c>
      <c r="K104" s="30" t="s">
        <v>2099</v>
      </c>
      <c r="L104" s="30" t="s">
        <v>2017</v>
      </c>
      <c r="M104" s="30" t="s">
        <v>2018</v>
      </c>
      <c r="N104" s="30" t="s">
        <v>2099</v>
      </c>
      <c r="O104" s="30" t="s">
        <v>2100</v>
      </c>
      <c r="P104" s="32">
        <v>3867</v>
      </c>
      <c r="Q104" s="32">
        <v>1697</v>
      </c>
      <c r="R104" s="32">
        <v>328</v>
      </c>
      <c r="S104" s="32">
        <v>120</v>
      </c>
      <c r="T104" s="32">
        <v>59</v>
      </c>
      <c r="U104" s="32">
        <v>315</v>
      </c>
      <c r="V104" s="32">
        <v>214</v>
      </c>
      <c r="W104" s="32">
        <v>99</v>
      </c>
      <c r="X104" s="32">
        <v>643</v>
      </c>
      <c r="Y104" s="32">
        <v>334</v>
      </c>
      <c r="Z104" s="32">
        <v>158</v>
      </c>
      <c r="AA104" s="32">
        <v>952</v>
      </c>
      <c r="AB104" s="32">
        <v>349</v>
      </c>
      <c r="AC104" s="32">
        <v>170</v>
      </c>
      <c r="AD104" s="32">
        <v>401</v>
      </c>
      <c r="AE104" s="32">
        <v>278</v>
      </c>
      <c r="AF104" s="32">
        <v>129</v>
      </c>
      <c r="AG104" s="32">
        <v>1353</v>
      </c>
      <c r="AH104" s="32">
        <v>627</v>
      </c>
      <c r="AI104" s="32">
        <v>299</v>
      </c>
      <c r="AJ104" s="32">
        <v>1353</v>
      </c>
      <c r="AK104" s="32">
        <v>4041</v>
      </c>
      <c r="AL104" s="32">
        <v>33.5</v>
      </c>
    </row>
    <row r="105" spans="1:38" ht="13.5" hidden="1" customHeight="1">
      <c r="A105" s="30" t="s">
        <v>1981</v>
      </c>
      <c r="B105" s="30" t="s">
        <v>2052</v>
      </c>
      <c r="C105" s="30" t="s">
        <v>235</v>
      </c>
      <c r="D105" s="30" t="s">
        <v>2012</v>
      </c>
      <c r="E105" s="30" t="s">
        <v>2015</v>
      </c>
      <c r="F105" s="30" t="s">
        <v>2015</v>
      </c>
      <c r="G105" s="30"/>
      <c r="H105" s="30" t="s">
        <v>2015</v>
      </c>
      <c r="I105" s="30" t="s">
        <v>2226</v>
      </c>
      <c r="J105" s="30" t="s">
        <v>2227</v>
      </c>
      <c r="K105" s="30" t="s">
        <v>2018</v>
      </c>
      <c r="L105" s="30" t="s">
        <v>2017</v>
      </c>
      <c r="M105" s="30" t="s">
        <v>2018</v>
      </c>
      <c r="N105" s="30" t="s">
        <v>2018</v>
      </c>
      <c r="O105" s="30" t="s">
        <v>2015</v>
      </c>
      <c r="P105" s="32">
        <v>1102</v>
      </c>
      <c r="Q105" s="32">
        <v>625</v>
      </c>
      <c r="R105" s="32">
        <v>115</v>
      </c>
      <c r="S105" s="32">
        <v>53</v>
      </c>
      <c r="T105" s="32">
        <v>28</v>
      </c>
      <c r="U105" s="32">
        <v>168</v>
      </c>
      <c r="V105" s="32">
        <v>119</v>
      </c>
      <c r="W105" s="32">
        <v>68</v>
      </c>
      <c r="X105" s="32">
        <v>283</v>
      </c>
      <c r="Y105" s="32">
        <v>172</v>
      </c>
      <c r="Z105" s="32">
        <v>96</v>
      </c>
      <c r="AA105" s="32">
        <v>299</v>
      </c>
      <c r="AB105" s="32">
        <v>138</v>
      </c>
      <c r="AC105" s="32">
        <v>73</v>
      </c>
      <c r="AD105" s="32">
        <v>185</v>
      </c>
      <c r="AE105" s="32">
        <v>131</v>
      </c>
      <c r="AF105" s="32">
        <v>75</v>
      </c>
      <c r="AG105" s="32">
        <v>484</v>
      </c>
      <c r="AH105" s="32">
        <v>269</v>
      </c>
      <c r="AI105" s="32">
        <v>148</v>
      </c>
      <c r="AJ105" s="32">
        <v>484</v>
      </c>
      <c r="AK105" s="32">
        <v>996</v>
      </c>
      <c r="AL105" s="32">
        <v>48.6</v>
      </c>
    </row>
    <row r="106" spans="1:38" ht="13.5" hidden="1" customHeight="1">
      <c r="A106" s="30" t="s">
        <v>1981</v>
      </c>
      <c r="B106" s="30" t="s">
        <v>2052</v>
      </c>
      <c r="C106" s="30" t="s">
        <v>235</v>
      </c>
      <c r="D106" s="30" t="s">
        <v>2012</v>
      </c>
      <c r="E106" s="30" t="s">
        <v>2015</v>
      </c>
      <c r="F106" s="30" t="s">
        <v>2015</v>
      </c>
      <c r="G106" s="30"/>
      <c r="H106" s="30" t="s">
        <v>2015</v>
      </c>
      <c r="I106" s="30" t="s">
        <v>2228</v>
      </c>
      <c r="J106" s="30" t="s">
        <v>2229</v>
      </c>
      <c r="K106" s="30" t="s">
        <v>2018</v>
      </c>
      <c r="L106" s="30" t="s">
        <v>2017</v>
      </c>
      <c r="M106" s="30" t="s">
        <v>2018</v>
      </c>
      <c r="N106" s="30" t="s">
        <v>2018</v>
      </c>
      <c r="O106" s="30" t="s">
        <v>2015</v>
      </c>
      <c r="P106" s="32">
        <v>6696</v>
      </c>
      <c r="Q106" s="32">
        <v>3193</v>
      </c>
      <c r="R106" s="32">
        <v>875</v>
      </c>
      <c r="S106" s="32">
        <v>451</v>
      </c>
      <c r="T106" s="32">
        <v>207</v>
      </c>
      <c r="U106" s="32">
        <v>801</v>
      </c>
      <c r="V106" s="32">
        <v>571</v>
      </c>
      <c r="W106" s="32">
        <v>347</v>
      </c>
      <c r="X106" s="32">
        <v>1676</v>
      </c>
      <c r="Y106" s="32">
        <v>1022</v>
      </c>
      <c r="Z106" s="32">
        <v>554</v>
      </c>
      <c r="AA106" s="32">
        <v>2509</v>
      </c>
      <c r="AB106" s="32">
        <v>1296</v>
      </c>
      <c r="AC106" s="32">
        <v>602</v>
      </c>
      <c r="AD106" s="32">
        <v>940</v>
      </c>
      <c r="AE106" s="32">
        <v>668</v>
      </c>
      <c r="AF106" s="32">
        <v>402</v>
      </c>
      <c r="AG106" s="32">
        <v>3449</v>
      </c>
      <c r="AH106" s="32">
        <v>1964</v>
      </c>
      <c r="AI106" s="32">
        <v>1004</v>
      </c>
      <c r="AJ106" s="32">
        <v>3449</v>
      </c>
      <c r="AK106" s="32">
        <v>6488</v>
      </c>
      <c r="AL106" s="32">
        <v>53.2</v>
      </c>
    </row>
    <row r="107" spans="1:38" ht="13.5" hidden="1" customHeight="1">
      <c r="A107" s="30" t="s">
        <v>1981</v>
      </c>
      <c r="B107" s="30" t="s">
        <v>2052</v>
      </c>
      <c r="C107" s="30" t="s">
        <v>235</v>
      </c>
      <c r="D107" s="30" t="s">
        <v>2012</v>
      </c>
      <c r="E107" s="30" t="s">
        <v>2015</v>
      </c>
      <c r="F107" s="30" t="s">
        <v>2015</v>
      </c>
      <c r="G107" s="30"/>
      <c r="H107" s="30" t="s">
        <v>2015</v>
      </c>
      <c r="I107" s="30" t="s">
        <v>2230</v>
      </c>
      <c r="J107" s="30" t="s">
        <v>2231</v>
      </c>
      <c r="K107" s="30" t="s">
        <v>2065</v>
      </c>
      <c r="L107" s="30" t="s">
        <v>2066</v>
      </c>
      <c r="M107" s="30" t="s">
        <v>2067</v>
      </c>
      <c r="N107" s="30" t="s">
        <v>2067</v>
      </c>
      <c r="O107" s="30" t="s">
        <v>2068</v>
      </c>
      <c r="P107" s="32">
        <v>3445</v>
      </c>
      <c r="Q107" s="32">
        <v>1455</v>
      </c>
      <c r="R107" s="32">
        <v>297</v>
      </c>
      <c r="S107" s="32">
        <v>159</v>
      </c>
      <c r="T107" s="32">
        <v>76</v>
      </c>
      <c r="U107" s="32">
        <v>301</v>
      </c>
      <c r="V107" s="32">
        <v>181</v>
      </c>
      <c r="W107" s="32">
        <v>89</v>
      </c>
      <c r="X107" s="32">
        <v>598</v>
      </c>
      <c r="Y107" s="32">
        <v>340</v>
      </c>
      <c r="Z107" s="32">
        <v>165</v>
      </c>
      <c r="AA107" s="32">
        <v>875</v>
      </c>
      <c r="AB107" s="32">
        <v>463</v>
      </c>
      <c r="AC107" s="32">
        <v>222</v>
      </c>
      <c r="AD107" s="32">
        <v>372</v>
      </c>
      <c r="AE107" s="32">
        <v>223</v>
      </c>
      <c r="AF107" s="32">
        <v>113</v>
      </c>
      <c r="AG107" s="32">
        <v>1247</v>
      </c>
      <c r="AH107" s="32">
        <v>686</v>
      </c>
      <c r="AI107" s="32">
        <v>335</v>
      </c>
      <c r="AJ107" s="32">
        <v>1247</v>
      </c>
      <c r="AK107" s="32">
        <v>3505</v>
      </c>
      <c r="AL107" s="32">
        <v>35.6</v>
      </c>
    </row>
    <row r="108" spans="1:38" ht="13.5" hidden="1" customHeight="1">
      <c r="A108" s="30" t="s">
        <v>1981</v>
      </c>
      <c r="B108" s="30" t="s">
        <v>2052</v>
      </c>
      <c r="C108" s="30" t="s">
        <v>235</v>
      </c>
      <c r="D108" s="30" t="s">
        <v>2012</v>
      </c>
      <c r="E108" s="30" t="s">
        <v>2015</v>
      </c>
      <c r="F108" s="30" t="s">
        <v>2015</v>
      </c>
      <c r="G108" s="30"/>
      <c r="H108" s="30" t="s">
        <v>2015</v>
      </c>
      <c r="I108" s="30" t="s">
        <v>2232</v>
      </c>
      <c r="J108" s="30" t="s">
        <v>2233</v>
      </c>
      <c r="K108" s="30" t="s">
        <v>2018</v>
      </c>
      <c r="L108" s="30" t="s">
        <v>2017</v>
      </c>
      <c r="M108" s="30" t="s">
        <v>2018</v>
      </c>
      <c r="N108" s="30" t="s">
        <v>2018</v>
      </c>
      <c r="O108" s="30" t="s">
        <v>2015</v>
      </c>
      <c r="P108" s="32">
        <v>2237</v>
      </c>
      <c r="Q108" s="32">
        <v>1052</v>
      </c>
      <c r="R108" s="32">
        <v>159</v>
      </c>
      <c r="S108" s="32">
        <v>70</v>
      </c>
      <c r="T108" s="32">
        <v>13</v>
      </c>
      <c r="U108" s="32">
        <v>366</v>
      </c>
      <c r="V108" s="32">
        <v>260</v>
      </c>
      <c r="W108" s="32">
        <v>156</v>
      </c>
      <c r="X108" s="32">
        <v>525</v>
      </c>
      <c r="Y108" s="32">
        <v>330</v>
      </c>
      <c r="Z108" s="32">
        <v>169</v>
      </c>
      <c r="AA108" s="32">
        <v>468</v>
      </c>
      <c r="AB108" s="32">
        <v>207</v>
      </c>
      <c r="AC108" s="32">
        <v>39</v>
      </c>
      <c r="AD108" s="32">
        <v>454</v>
      </c>
      <c r="AE108" s="32">
        <v>321</v>
      </c>
      <c r="AF108" s="32">
        <v>190</v>
      </c>
      <c r="AG108" s="32">
        <v>922</v>
      </c>
      <c r="AH108" s="32">
        <v>528</v>
      </c>
      <c r="AI108" s="32">
        <v>229</v>
      </c>
      <c r="AJ108" s="32">
        <v>922</v>
      </c>
      <c r="AK108" s="32">
        <v>2178</v>
      </c>
      <c r="AL108" s="32">
        <v>42.3</v>
      </c>
    </row>
    <row r="109" spans="1:38" ht="13.5" hidden="1" customHeight="1">
      <c r="A109" s="30" t="s">
        <v>1981</v>
      </c>
      <c r="B109" s="30" t="s">
        <v>2052</v>
      </c>
      <c r="C109" s="30" t="s">
        <v>235</v>
      </c>
      <c r="D109" s="30" t="s">
        <v>2012</v>
      </c>
      <c r="E109" s="30" t="s">
        <v>2015</v>
      </c>
      <c r="F109" s="30" t="s">
        <v>2015</v>
      </c>
      <c r="G109" s="30"/>
      <c r="H109" s="30" t="s">
        <v>2015</v>
      </c>
      <c r="I109" s="30" t="s">
        <v>2234</v>
      </c>
      <c r="J109" s="30" t="s">
        <v>2235</v>
      </c>
      <c r="K109" s="30" t="s">
        <v>2099</v>
      </c>
      <c r="L109" s="30" t="s">
        <v>2017</v>
      </c>
      <c r="M109" s="30" t="s">
        <v>2018</v>
      </c>
      <c r="N109" s="30" t="s">
        <v>2099</v>
      </c>
      <c r="O109" s="30" t="s">
        <v>2100</v>
      </c>
      <c r="P109" s="32">
        <v>23324</v>
      </c>
      <c r="Q109" s="32">
        <v>10349</v>
      </c>
      <c r="R109" s="32">
        <v>2041</v>
      </c>
      <c r="S109" s="32">
        <v>829</v>
      </c>
      <c r="T109" s="32">
        <v>349</v>
      </c>
      <c r="U109" s="32">
        <v>2427</v>
      </c>
      <c r="V109" s="32">
        <v>1609</v>
      </c>
      <c r="W109" s="32">
        <v>860</v>
      </c>
      <c r="X109" s="32">
        <v>4468</v>
      </c>
      <c r="Y109" s="32">
        <v>2438</v>
      </c>
      <c r="Z109" s="32">
        <v>1209</v>
      </c>
      <c r="AA109" s="32">
        <v>6005</v>
      </c>
      <c r="AB109" s="32">
        <v>2431</v>
      </c>
      <c r="AC109" s="32">
        <v>1025</v>
      </c>
      <c r="AD109" s="32">
        <v>3006</v>
      </c>
      <c r="AE109" s="32">
        <v>1958</v>
      </c>
      <c r="AF109" s="32">
        <v>1039</v>
      </c>
      <c r="AG109" s="32">
        <v>9011</v>
      </c>
      <c r="AH109" s="32">
        <v>4389</v>
      </c>
      <c r="AI109" s="32">
        <v>2064</v>
      </c>
      <c r="AJ109" s="32">
        <v>9011</v>
      </c>
      <c r="AK109" s="32">
        <v>22803</v>
      </c>
      <c r="AL109" s="32">
        <v>39.5</v>
      </c>
    </row>
    <row r="110" spans="1:38" ht="13.5" hidden="1" customHeight="1">
      <c r="A110" s="30" t="s">
        <v>1981</v>
      </c>
      <c r="B110" s="30" t="s">
        <v>2052</v>
      </c>
      <c r="C110" s="30" t="s">
        <v>235</v>
      </c>
      <c r="D110" s="30" t="s">
        <v>2012</v>
      </c>
      <c r="E110" s="30" t="s">
        <v>2015</v>
      </c>
      <c r="F110" s="30" t="s">
        <v>2015</v>
      </c>
      <c r="G110" s="30"/>
      <c r="H110" s="30" t="s">
        <v>2015</v>
      </c>
      <c r="I110" s="30" t="s">
        <v>2236</v>
      </c>
      <c r="J110" s="30" t="s">
        <v>2237</v>
      </c>
      <c r="K110" s="30" t="s">
        <v>2018</v>
      </c>
      <c r="L110" s="30" t="s">
        <v>2017</v>
      </c>
      <c r="M110" s="30" t="s">
        <v>2018</v>
      </c>
      <c r="N110" s="30" t="s">
        <v>2018</v>
      </c>
      <c r="O110" s="30" t="s">
        <v>2015</v>
      </c>
      <c r="P110" s="32">
        <v>4173</v>
      </c>
      <c r="Q110" s="32">
        <v>1851</v>
      </c>
      <c r="R110" s="32">
        <v>449</v>
      </c>
      <c r="S110" s="32">
        <v>248</v>
      </c>
      <c r="T110" s="32">
        <v>113</v>
      </c>
      <c r="U110" s="32">
        <v>287</v>
      </c>
      <c r="V110" s="32">
        <v>221</v>
      </c>
      <c r="W110" s="32">
        <v>94</v>
      </c>
      <c r="X110" s="32">
        <v>736</v>
      </c>
      <c r="Y110" s="32">
        <v>469</v>
      </c>
      <c r="Z110" s="32">
        <v>207</v>
      </c>
      <c r="AA110" s="32">
        <v>1417</v>
      </c>
      <c r="AB110" s="32">
        <v>785</v>
      </c>
      <c r="AC110" s="32">
        <v>359</v>
      </c>
      <c r="AD110" s="32">
        <v>364</v>
      </c>
      <c r="AE110" s="32">
        <v>274</v>
      </c>
      <c r="AF110" s="32">
        <v>118</v>
      </c>
      <c r="AG110" s="32">
        <v>1781</v>
      </c>
      <c r="AH110" s="32">
        <v>1059</v>
      </c>
      <c r="AI110" s="32">
        <v>477</v>
      </c>
      <c r="AJ110" s="32">
        <v>1781</v>
      </c>
      <c r="AK110" s="32">
        <v>4145</v>
      </c>
      <c r="AL110" s="32">
        <v>43</v>
      </c>
    </row>
    <row r="111" spans="1:38" ht="13.5" hidden="1" customHeight="1">
      <c r="A111" s="30" t="s">
        <v>1981</v>
      </c>
      <c r="B111" s="30" t="s">
        <v>2052</v>
      </c>
      <c r="C111" s="30" t="s">
        <v>235</v>
      </c>
      <c r="D111" s="30" t="s">
        <v>2012</v>
      </c>
      <c r="E111" s="30" t="s">
        <v>2015</v>
      </c>
      <c r="F111" s="30" t="s">
        <v>2015</v>
      </c>
      <c r="G111" s="30"/>
      <c r="H111" s="30" t="s">
        <v>2015</v>
      </c>
      <c r="I111" s="30" t="s">
        <v>2238</v>
      </c>
      <c r="J111" s="30" t="s">
        <v>2239</v>
      </c>
      <c r="K111" s="30" t="s">
        <v>2018</v>
      </c>
      <c r="L111" s="30" t="s">
        <v>2017</v>
      </c>
      <c r="M111" s="30" t="s">
        <v>2018</v>
      </c>
      <c r="N111" s="30" t="s">
        <v>2018</v>
      </c>
      <c r="O111" s="30" t="s">
        <v>2015</v>
      </c>
      <c r="P111" s="32">
        <v>3488</v>
      </c>
      <c r="Q111" s="32">
        <v>1501</v>
      </c>
      <c r="R111" s="32">
        <v>382</v>
      </c>
      <c r="S111" s="32">
        <v>200</v>
      </c>
      <c r="T111" s="32">
        <v>117</v>
      </c>
      <c r="U111" s="32">
        <v>372</v>
      </c>
      <c r="V111" s="32">
        <v>248</v>
      </c>
      <c r="W111" s="32">
        <v>176</v>
      </c>
      <c r="X111" s="32">
        <v>754</v>
      </c>
      <c r="Y111" s="32">
        <v>448</v>
      </c>
      <c r="Z111" s="32">
        <v>293</v>
      </c>
      <c r="AA111" s="32">
        <v>1194</v>
      </c>
      <c r="AB111" s="32">
        <v>635</v>
      </c>
      <c r="AC111" s="32">
        <v>362</v>
      </c>
      <c r="AD111" s="32">
        <v>430</v>
      </c>
      <c r="AE111" s="32">
        <v>288</v>
      </c>
      <c r="AF111" s="32">
        <v>203</v>
      </c>
      <c r="AG111" s="32">
        <v>1624</v>
      </c>
      <c r="AH111" s="32">
        <v>923</v>
      </c>
      <c r="AI111" s="32">
        <v>565</v>
      </c>
      <c r="AJ111" s="32">
        <v>1624</v>
      </c>
      <c r="AK111" s="32">
        <v>3423</v>
      </c>
      <c r="AL111" s="32">
        <v>47.4</v>
      </c>
    </row>
    <row r="112" spans="1:38" ht="13.5" hidden="1" customHeight="1">
      <c r="A112" s="30" t="s">
        <v>1981</v>
      </c>
      <c r="B112" s="30" t="s">
        <v>2052</v>
      </c>
      <c r="C112" s="30" t="s">
        <v>235</v>
      </c>
      <c r="D112" s="30" t="s">
        <v>2012</v>
      </c>
      <c r="E112" s="30" t="s">
        <v>2015</v>
      </c>
      <c r="F112" s="30" t="s">
        <v>2015</v>
      </c>
      <c r="G112" s="30"/>
      <c r="H112" s="30" t="s">
        <v>2015</v>
      </c>
      <c r="I112" s="30" t="s">
        <v>2240</v>
      </c>
      <c r="J112" s="30" t="s">
        <v>2241</v>
      </c>
      <c r="K112" s="30" t="s">
        <v>2018</v>
      </c>
      <c r="L112" s="30" t="s">
        <v>2017</v>
      </c>
      <c r="M112" s="30" t="s">
        <v>2018</v>
      </c>
      <c r="N112" s="30" t="s">
        <v>2018</v>
      </c>
      <c r="O112" s="30" t="s">
        <v>2015</v>
      </c>
      <c r="P112" s="32">
        <v>2714</v>
      </c>
      <c r="Q112" s="32">
        <v>1100</v>
      </c>
      <c r="R112" s="32">
        <v>239</v>
      </c>
      <c r="S112" s="32">
        <v>93</v>
      </c>
      <c r="T112" s="32">
        <v>47</v>
      </c>
      <c r="U112" s="32">
        <v>302</v>
      </c>
      <c r="V112" s="32">
        <v>206</v>
      </c>
      <c r="W112" s="32">
        <v>156</v>
      </c>
      <c r="X112" s="32">
        <v>541</v>
      </c>
      <c r="Y112" s="32">
        <v>299</v>
      </c>
      <c r="Z112" s="32">
        <v>203</v>
      </c>
      <c r="AA112" s="32">
        <v>737</v>
      </c>
      <c r="AB112" s="32">
        <v>276</v>
      </c>
      <c r="AC112" s="32">
        <v>139</v>
      </c>
      <c r="AD112" s="32">
        <v>356</v>
      </c>
      <c r="AE112" s="32">
        <v>243</v>
      </c>
      <c r="AF112" s="32">
        <v>184</v>
      </c>
      <c r="AG112" s="32">
        <v>1093</v>
      </c>
      <c r="AH112" s="32">
        <v>519</v>
      </c>
      <c r="AI112" s="32">
        <v>323</v>
      </c>
      <c r="AJ112" s="32">
        <v>1093</v>
      </c>
      <c r="AK112" s="32">
        <v>2413</v>
      </c>
      <c r="AL112" s="32">
        <v>45.3</v>
      </c>
    </row>
    <row r="113" spans="1:38" ht="13.5" hidden="1" customHeight="1">
      <c r="A113" s="30" t="s">
        <v>1981</v>
      </c>
      <c r="B113" s="30" t="s">
        <v>2052</v>
      </c>
      <c r="C113" s="30" t="s">
        <v>235</v>
      </c>
      <c r="D113" s="30" t="s">
        <v>2012</v>
      </c>
      <c r="E113" s="30" t="s">
        <v>2015</v>
      </c>
      <c r="F113" s="30" t="s">
        <v>2015</v>
      </c>
      <c r="G113" s="30"/>
      <c r="H113" s="30" t="s">
        <v>2015</v>
      </c>
      <c r="I113" s="30" t="s">
        <v>2242</v>
      </c>
      <c r="J113" s="30" t="s">
        <v>2243</v>
      </c>
      <c r="K113" s="30" t="s">
        <v>2018</v>
      </c>
      <c r="L113" s="30" t="s">
        <v>2017</v>
      </c>
      <c r="M113" s="30" t="s">
        <v>2018</v>
      </c>
      <c r="N113" s="30" t="s">
        <v>2018</v>
      </c>
      <c r="O113" s="30" t="s">
        <v>2015</v>
      </c>
      <c r="P113" s="32">
        <v>6271</v>
      </c>
      <c r="Q113" s="32">
        <v>2486</v>
      </c>
      <c r="R113" s="32">
        <v>580</v>
      </c>
      <c r="S113" s="32">
        <v>248</v>
      </c>
      <c r="T113" s="32">
        <v>98</v>
      </c>
      <c r="U113" s="32">
        <v>334</v>
      </c>
      <c r="V113" s="32">
        <v>207</v>
      </c>
      <c r="W113" s="32">
        <v>111</v>
      </c>
      <c r="X113" s="32">
        <v>914</v>
      </c>
      <c r="Y113" s="32">
        <v>455</v>
      </c>
      <c r="Z113" s="32">
        <v>209</v>
      </c>
      <c r="AA113" s="32">
        <v>1851</v>
      </c>
      <c r="AB113" s="32">
        <v>797</v>
      </c>
      <c r="AC113" s="32">
        <v>307</v>
      </c>
      <c r="AD113" s="32">
        <v>401</v>
      </c>
      <c r="AE113" s="32">
        <v>244</v>
      </c>
      <c r="AF113" s="32">
        <v>129</v>
      </c>
      <c r="AG113" s="32">
        <v>2252</v>
      </c>
      <c r="AH113" s="32">
        <v>1041</v>
      </c>
      <c r="AI113" s="32">
        <v>436</v>
      </c>
      <c r="AJ113" s="32">
        <v>2252</v>
      </c>
      <c r="AK113" s="32">
        <v>6196</v>
      </c>
      <c r="AL113" s="32">
        <v>36.299999999999997</v>
      </c>
    </row>
    <row r="114" spans="1:38" ht="13.5" hidden="1" customHeight="1">
      <c r="A114" s="30" t="s">
        <v>1981</v>
      </c>
      <c r="B114" s="30" t="s">
        <v>2052</v>
      </c>
      <c r="C114" s="30" t="s">
        <v>235</v>
      </c>
      <c r="D114" s="30" t="s">
        <v>2012</v>
      </c>
      <c r="E114" s="30" t="s">
        <v>2015</v>
      </c>
      <c r="F114" s="30" t="s">
        <v>2015</v>
      </c>
      <c r="G114" s="30"/>
      <c r="H114" s="30" t="s">
        <v>2015</v>
      </c>
      <c r="I114" s="30" t="s">
        <v>2244</v>
      </c>
      <c r="J114" s="30" t="s">
        <v>2245</v>
      </c>
      <c r="K114" s="30" t="s">
        <v>2018</v>
      </c>
      <c r="L114" s="30" t="s">
        <v>2017</v>
      </c>
      <c r="M114" s="30" t="s">
        <v>2018</v>
      </c>
      <c r="N114" s="30" t="s">
        <v>2018</v>
      </c>
      <c r="O114" s="30" t="s">
        <v>2015</v>
      </c>
      <c r="P114" s="32">
        <v>486</v>
      </c>
      <c r="Q114" s="32">
        <v>319</v>
      </c>
      <c r="R114" s="32">
        <v>57</v>
      </c>
      <c r="S114" s="32">
        <v>47</v>
      </c>
      <c r="T114" s="32">
        <v>28</v>
      </c>
      <c r="U114" s="32">
        <v>108</v>
      </c>
      <c r="V114" s="32">
        <v>81</v>
      </c>
      <c r="W114" s="32">
        <v>59</v>
      </c>
      <c r="X114" s="32">
        <v>165</v>
      </c>
      <c r="Y114" s="32">
        <v>128</v>
      </c>
      <c r="Z114" s="32">
        <v>87</v>
      </c>
      <c r="AA114" s="32">
        <v>156</v>
      </c>
      <c r="AB114" s="32">
        <v>131</v>
      </c>
      <c r="AC114" s="32">
        <v>78</v>
      </c>
      <c r="AD114" s="32">
        <v>123</v>
      </c>
      <c r="AE114" s="32">
        <v>91</v>
      </c>
      <c r="AF114" s="32">
        <v>65</v>
      </c>
      <c r="AG114" s="32">
        <v>279</v>
      </c>
      <c r="AH114" s="32">
        <v>222</v>
      </c>
      <c r="AI114" s="32">
        <v>143</v>
      </c>
      <c r="AJ114" s="32">
        <v>279</v>
      </c>
      <c r="AK114" s="32">
        <v>477</v>
      </c>
      <c r="AL114" s="32">
        <v>58.5</v>
      </c>
    </row>
    <row r="115" spans="1:38" ht="13.5" hidden="1" customHeight="1">
      <c r="A115" s="30" t="s">
        <v>1981</v>
      </c>
      <c r="B115" s="30" t="s">
        <v>2052</v>
      </c>
      <c r="C115" s="30" t="s">
        <v>235</v>
      </c>
      <c r="D115" s="30" t="s">
        <v>2012</v>
      </c>
      <c r="E115" s="30" t="s">
        <v>2015</v>
      </c>
      <c r="F115" s="30" t="s">
        <v>2015</v>
      </c>
      <c r="G115" s="30"/>
      <c r="H115" s="30" t="s">
        <v>2015</v>
      </c>
      <c r="I115" s="30" t="s">
        <v>2246</v>
      </c>
      <c r="J115" s="30" t="s">
        <v>2247</v>
      </c>
      <c r="K115" s="30" t="s">
        <v>2018</v>
      </c>
      <c r="L115" s="30" t="s">
        <v>2017</v>
      </c>
      <c r="M115" s="30" t="s">
        <v>2018</v>
      </c>
      <c r="N115" s="30" t="s">
        <v>2018</v>
      </c>
      <c r="O115" s="30" t="s">
        <v>2015</v>
      </c>
      <c r="P115" s="32">
        <v>2369</v>
      </c>
      <c r="Q115" s="32">
        <v>1119</v>
      </c>
      <c r="R115" s="32">
        <v>302</v>
      </c>
      <c r="S115" s="32">
        <v>199</v>
      </c>
      <c r="T115" s="32">
        <v>75</v>
      </c>
      <c r="U115" s="32">
        <v>326</v>
      </c>
      <c r="V115" s="32">
        <v>280</v>
      </c>
      <c r="W115" s="32">
        <v>216</v>
      </c>
      <c r="X115" s="32">
        <v>628</v>
      </c>
      <c r="Y115" s="32">
        <v>479</v>
      </c>
      <c r="Z115" s="32">
        <v>291</v>
      </c>
      <c r="AA115" s="32">
        <v>824</v>
      </c>
      <c r="AB115" s="32">
        <v>543</v>
      </c>
      <c r="AC115" s="32">
        <v>206</v>
      </c>
      <c r="AD115" s="32">
        <v>375</v>
      </c>
      <c r="AE115" s="32">
        <v>323</v>
      </c>
      <c r="AF115" s="32">
        <v>247</v>
      </c>
      <c r="AG115" s="32">
        <v>1199</v>
      </c>
      <c r="AH115" s="32">
        <v>866</v>
      </c>
      <c r="AI115" s="32">
        <v>453</v>
      </c>
      <c r="AJ115" s="32">
        <v>1199</v>
      </c>
      <c r="AK115" s="32">
        <v>2128</v>
      </c>
      <c r="AL115" s="32">
        <v>56.3</v>
      </c>
    </row>
    <row r="116" spans="1:38" ht="13.5" hidden="1" customHeight="1">
      <c r="A116" s="30" t="s">
        <v>1981</v>
      </c>
      <c r="B116" s="30" t="s">
        <v>2052</v>
      </c>
      <c r="C116" s="30" t="s">
        <v>235</v>
      </c>
      <c r="D116" s="30" t="s">
        <v>2012</v>
      </c>
      <c r="E116" s="30" t="s">
        <v>2015</v>
      </c>
      <c r="F116" s="30" t="s">
        <v>2015</v>
      </c>
      <c r="G116" s="30"/>
      <c r="H116" s="30" t="s">
        <v>2015</v>
      </c>
      <c r="I116" s="30" t="s">
        <v>2248</v>
      </c>
      <c r="J116" s="30" t="s">
        <v>2249</v>
      </c>
      <c r="K116" s="30" t="s">
        <v>2018</v>
      </c>
      <c r="L116" s="30" t="s">
        <v>2017</v>
      </c>
      <c r="M116" s="30" t="s">
        <v>2018</v>
      </c>
      <c r="N116" s="30" t="s">
        <v>2018</v>
      </c>
      <c r="O116" s="30" t="s">
        <v>2015</v>
      </c>
      <c r="P116" s="32">
        <v>1291</v>
      </c>
      <c r="Q116" s="32">
        <v>674</v>
      </c>
      <c r="R116" s="32">
        <v>130</v>
      </c>
      <c r="S116" s="32">
        <v>78</v>
      </c>
      <c r="T116" s="32">
        <v>42</v>
      </c>
      <c r="U116" s="32">
        <v>196</v>
      </c>
      <c r="V116" s="32">
        <v>139</v>
      </c>
      <c r="W116" s="32">
        <v>90</v>
      </c>
      <c r="X116" s="32">
        <v>326</v>
      </c>
      <c r="Y116" s="32">
        <v>217</v>
      </c>
      <c r="Z116" s="32">
        <v>132</v>
      </c>
      <c r="AA116" s="32">
        <v>343</v>
      </c>
      <c r="AB116" s="32">
        <v>205</v>
      </c>
      <c r="AC116" s="32">
        <v>110</v>
      </c>
      <c r="AD116" s="32">
        <v>228</v>
      </c>
      <c r="AE116" s="32">
        <v>161</v>
      </c>
      <c r="AF116" s="32">
        <v>102</v>
      </c>
      <c r="AG116" s="32">
        <v>571</v>
      </c>
      <c r="AH116" s="32">
        <v>366</v>
      </c>
      <c r="AI116" s="32">
        <v>212</v>
      </c>
      <c r="AJ116" s="32">
        <v>571</v>
      </c>
      <c r="AK116" s="32">
        <v>1107</v>
      </c>
      <c r="AL116" s="32">
        <v>51.6</v>
      </c>
    </row>
    <row r="117" spans="1:38" ht="13.5" hidden="1" customHeight="1">
      <c r="A117" s="30" t="s">
        <v>1981</v>
      </c>
      <c r="B117" s="30" t="s">
        <v>2052</v>
      </c>
      <c r="C117" s="30" t="s">
        <v>235</v>
      </c>
      <c r="D117" s="30" t="s">
        <v>2012</v>
      </c>
      <c r="E117" s="30" t="s">
        <v>2015</v>
      </c>
      <c r="F117" s="30" t="s">
        <v>2015</v>
      </c>
      <c r="G117" s="30"/>
      <c r="H117" s="30" t="s">
        <v>2015</v>
      </c>
      <c r="I117" s="30" t="s">
        <v>2250</v>
      </c>
      <c r="J117" s="30" t="s">
        <v>2251</v>
      </c>
      <c r="K117" s="30" t="s">
        <v>2018</v>
      </c>
      <c r="L117" s="30" t="s">
        <v>2017</v>
      </c>
      <c r="M117" s="30" t="s">
        <v>2018</v>
      </c>
      <c r="N117" s="30" t="s">
        <v>2018</v>
      </c>
      <c r="O117" s="30" t="s">
        <v>2015</v>
      </c>
      <c r="P117" s="32">
        <v>15605</v>
      </c>
      <c r="Q117" s="32">
        <v>6819</v>
      </c>
      <c r="R117" s="32">
        <v>1465</v>
      </c>
      <c r="S117" s="32">
        <v>805</v>
      </c>
      <c r="T117" s="32">
        <v>449</v>
      </c>
      <c r="U117" s="32">
        <v>1985</v>
      </c>
      <c r="V117" s="32">
        <v>1374</v>
      </c>
      <c r="W117" s="32">
        <v>841</v>
      </c>
      <c r="X117" s="32">
        <v>3450</v>
      </c>
      <c r="Y117" s="32">
        <v>2179</v>
      </c>
      <c r="Z117" s="32">
        <v>1290</v>
      </c>
      <c r="AA117" s="32">
        <v>4244</v>
      </c>
      <c r="AB117" s="32">
        <v>2363</v>
      </c>
      <c r="AC117" s="32">
        <v>1315</v>
      </c>
      <c r="AD117" s="32">
        <v>2358</v>
      </c>
      <c r="AE117" s="32">
        <v>1614</v>
      </c>
      <c r="AF117" s="32">
        <v>978</v>
      </c>
      <c r="AG117" s="32">
        <v>6602</v>
      </c>
      <c r="AH117" s="32">
        <v>3977</v>
      </c>
      <c r="AI117" s="32">
        <v>2293</v>
      </c>
      <c r="AJ117" s="32">
        <v>6602</v>
      </c>
      <c r="AK117" s="32">
        <v>13265</v>
      </c>
      <c r="AL117" s="32">
        <v>49.8</v>
      </c>
    </row>
    <row r="118" spans="1:38" ht="13.5" hidden="1" customHeight="1">
      <c r="A118" s="30" t="s">
        <v>1981</v>
      </c>
      <c r="B118" s="30" t="s">
        <v>2052</v>
      </c>
      <c r="C118" s="30" t="s">
        <v>235</v>
      </c>
      <c r="D118" s="30" t="s">
        <v>2012</v>
      </c>
      <c r="E118" s="30" t="s">
        <v>2015</v>
      </c>
      <c r="F118" s="30" t="s">
        <v>2015</v>
      </c>
      <c r="G118" s="30"/>
      <c r="H118" s="30" t="s">
        <v>2015</v>
      </c>
      <c r="I118" s="30" t="s">
        <v>2252</v>
      </c>
      <c r="J118" s="30" t="s">
        <v>2253</v>
      </c>
      <c r="K118" s="30" t="s">
        <v>2099</v>
      </c>
      <c r="L118" s="30" t="s">
        <v>2017</v>
      </c>
      <c r="M118" s="30" t="s">
        <v>2018</v>
      </c>
      <c r="N118" s="30" t="s">
        <v>2099</v>
      </c>
      <c r="O118" s="30" t="s">
        <v>2100</v>
      </c>
      <c r="P118" s="32">
        <v>16142</v>
      </c>
      <c r="Q118" s="32">
        <v>7089</v>
      </c>
      <c r="R118" s="32">
        <v>1843</v>
      </c>
      <c r="S118" s="32">
        <v>898</v>
      </c>
      <c r="T118" s="32">
        <v>367</v>
      </c>
      <c r="U118" s="32">
        <v>1774</v>
      </c>
      <c r="V118" s="32">
        <v>1178</v>
      </c>
      <c r="W118" s="32">
        <v>670</v>
      </c>
      <c r="X118" s="32">
        <v>3617</v>
      </c>
      <c r="Y118" s="32">
        <v>2076</v>
      </c>
      <c r="Z118" s="32">
        <v>1037</v>
      </c>
      <c r="AA118" s="32">
        <v>5468</v>
      </c>
      <c r="AB118" s="32">
        <v>2665</v>
      </c>
      <c r="AC118" s="32">
        <v>1084</v>
      </c>
      <c r="AD118" s="32">
        <v>2160</v>
      </c>
      <c r="AE118" s="32">
        <v>1430</v>
      </c>
      <c r="AF118" s="32">
        <v>810</v>
      </c>
      <c r="AG118" s="32">
        <v>7628</v>
      </c>
      <c r="AH118" s="32">
        <v>4095</v>
      </c>
      <c r="AI118" s="32">
        <v>1894</v>
      </c>
      <c r="AJ118" s="32">
        <v>7628</v>
      </c>
      <c r="AK118" s="32">
        <v>15972</v>
      </c>
      <c r="AL118" s="32">
        <v>47.8</v>
      </c>
    </row>
    <row r="119" spans="1:38" ht="13.5" hidden="1" customHeight="1">
      <c r="A119" s="30" t="s">
        <v>1981</v>
      </c>
      <c r="B119" s="30" t="s">
        <v>2052</v>
      </c>
      <c r="C119" s="30" t="s">
        <v>235</v>
      </c>
      <c r="D119" s="30" t="s">
        <v>2012</v>
      </c>
      <c r="E119" s="30" t="s">
        <v>2015</v>
      </c>
      <c r="F119" s="30" t="s">
        <v>2015</v>
      </c>
      <c r="G119" s="30"/>
      <c r="H119" s="30" t="s">
        <v>2015</v>
      </c>
      <c r="I119" s="30" t="s">
        <v>2254</v>
      </c>
      <c r="J119" s="30" t="s">
        <v>2255</v>
      </c>
      <c r="K119" s="30" t="s">
        <v>2018</v>
      </c>
      <c r="L119" s="30" t="s">
        <v>2017</v>
      </c>
      <c r="M119" s="30" t="s">
        <v>2018</v>
      </c>
      <c r="N119" s="30" t="s">
        <v>2018</v>
      </c>
      <c r="O119" s="30" t="s">
        <v>2015</v>
      </c>
      <c r="P119" s="32">
        <v>809</v>
      </c>
      <c r="Q119" s="32">
        <v>332</v>
      </c>
      <c r="R119" s="32">
        <v>78</v>
      </c>
      <c r="S119" s="32">
        <v>27</v>
      </c>
      <c r="T119" s="32">
        <v>1</v>
      </c>
      <c r="U119" s="32">
        <v>61</v>
      </c>
      <c r="V119" s="32">
        <v>50</v>
      </c>
      <c r="W119" s="32">
        <v>23</v>
      </c>
      <c r="X119" s="32">
        <v>139</v>
      </c>
      <c r="Y119" s="32">
        <v>77</v>
      </c>
      <c r="Z119" s="32">
        <v>24</v>
      </c>
      <c r="AA119" s="32">
        <v>277</v>
      </c>
      <c r="AB119" s="32">
        <v>103</v>
      </c>
      <c r="AC119" s="32">
        <v>4</v>
      </c>
      <c r="AD119" s="32">
        <v>74</v>
      </c>
      <c r="AE119" s="32">
        <v>60</v>
      </c>
      <c r="AF119" s="32">
        <v>30</v>
      </c>
      <c r="AG119" s="32">
        <v>351</v>
      </c>
      <c r="AH119" s="32">
        <v>163</v>
      </c>
      <c r="AI119" s="32">
        <v>34</v>
      </c>
      <c r="AJ119" s="32">
        <v>351</v>
      </c>
      <c r="AK119" s="32">
        <v>880</v>
      </c>
      <c r="AL119" s="32">
        <v>39.9</v>
      </c>
    </row>
    <row r="120" spans="1:38" ht="13.5" hidden="1" customHeight="1">
      <c r="A120" s="30" t="s">
        <v>1981</v>
      </c>
      <c r="B120" s="30" t="s">
        <v>2052</v>
      </c>
      <c r="C120" s="30" t="s">
        <v>235</v>
      </c>
      <c r="D120" s="30" t="s">
        <v>2012</v>
      </c>
      <c r="E120" s="30" t="s">
        <v>2015</v>
      </c>
      <c r="F120" s="30" t="s">
        <v>2015</v>
      </c>
      <c r="G120" s="30"/>
      <c r="H120" s="30" t="s">
        <v>2015</v>
      </c>
      <c r="I120" s="30" t="s">
        <v>2256</v>
      </c>
      <c r="J120" s="30" t="s">
        <v>2257</v>
      </c>
      <c r="K120" s="30" t="s">
        <v>2018</v>
      </c>
      <c r="L120" s="30" t="s">
        <v>2017</v>
      </c>
      <c r="M120" s="30" t="s">
        <v>2018</v>
      </c>
      <c r="N120" s="30" t="s">
        <v>2018</v>
      </c>
      <c r="O120" s="30" t="s">
        <v>2015</v>
      </c>
      <c r="P120" s="32">
        <v>2290</v>
      </c>
      <c r="Q120" s="32">
        <v>1078</v>
      </c>
      <c r="R120" s="32">
        <v>208</v>
      </c>
      <c r="S120" s="32">
        <v>98</v>
      </c>
      <c r="T120" s="32">
        <v>19</v>
      </c>
      <c r="U120" s="32">
        <v>244</v>
      </c>
      <c r="V120" s="32">
        <v>170</v>
      </c>
      <c r="W120" s="32">
        <v>69</v>
      </c>
      <c r="X120" s="32">
        <v>452</v>
      </c>
      <c r="Y120" s="32">
        <v>268</v>
      </c>
      <c r="Z120" s="32">
        <v>88</v>
      </c>
      <c r="AA120" s="32">
        <v>618</v>
      </c>
      <c r="AB120" s="32">
        <v>294</v>
      </c>
      <c r="AC120" s="32">
        <v>57</v>
      </c>
      <c r="AD120" s="32">
        <v>316</v>
      </c>
      <c r="AE120" s="32">
        <v>216</v>
      </c>
      <c r="AF120" s="32">
        <v>86</v>
      </c>
      <c r="AG120" s="32">
        <v>934</v>
      </c>
      <c r="AH120" s="32">
        <v>510</v>
      </c>
      <c r="AI120" s="32">
        <v>143</v>
      </c>
      <c r="AJ120" s="32">
        <v>934</v>
      </c>
      <c r="AK120" s="32">
        <v>2114</v>
      </c>
      <c r="AL120" s="32">
        <v>44.2</v>
      </c>
    </row>
    <row r="121" spans="1:38" ht="13.5" hidden="1" customHeight="1">
      <c r="A121" s="30" t="s">
        <v>1981</v>
      </c>
      <c r="B121" s="30" t="s">
        <v>2052</v>
      </c>
      <c r="C121" s="30" t="s">
        <v>235</v>
      </c>
      <c r="D121" s="30" t="s">
        <v>2012</v>
      </c>
      <c r="E121" s="30" t="s">
        <v>2015</v>
      </c>
      <c r="F121" s="30" t="s">
        <v>2015</v>
      </c>
      <c r="G121" s="30"/>
      <c r="H121" s="30" t="s">
        <v>2015</v>
      </c>
      <c r="I121" s="30" t="s">
        <v>2258</v>
      </c>
      <c r="J121" s="30" t="s">
        <v>2259</v>
      </c>
      <c r="K121" s="30" t="s">
        <v>2018</v>
      </c>
      <c r="L121" s="30" t="s">
        <v>2017</v>
      </c>
      <c r="M121" s="30" t="s">
        <v>2018</v>
      </c>
      <c r="N121" s="30" t="s">
        <v>2018</v>
      </c>
      <c r="O121" s="30" t="s">
        <v>2015</v>
      </c>
      <c r="P121" s="32">
        <v>7743</v>
      </c>
      <c r="Q121" s="32">
        <v>3591</v>
      </c>
      <c r="R121" s="32">
        <v>656</v>
      </c>
      <c r="S121" s="32">
        <v>302</v>
      </c>
      <c r="T121" s="32">
        <v>102</v>
      </c>
      <c r="U121" s="32">
        <v>671</v>
      </c>
      <c r="V121" s="32">
        <v>498</v>
      </c>
      <c r="W121" s="32">
        <v>256</v>
      </c>
      <c r="X121" s="32">
        <v>1327</v>
      </c>
      <c r="Y121" s="32">
        <v>800</v>
      </c>
      <c r="Z121" s="32">
        <v>358</v>
      </c>
      <c r="AA121" s="32">
        <v>1915</v>
      </c>
      <c r="AB121" s="32">
        <v>893</v>
      </c>
      <c r="AC121" s="32">
        <v>311</v>
      </c>
      <c r="AD121" s="32">
        <v>836</v>
      </c>
      <c r="AE121" s="32">
        <v>623</v>
      </c>
      <c r="AF121" s="32">
        <v>322</v>
      </c>
      <c r="AG121" s="32">
        <v>2751</v>
      </c>
      <c r="AH121" s="32">
        <v>1516</v>
      </c>
      <c r="AI121" s="32">
        <v>633</v>
      </c>
      <c r="AJ121" s="32">
        <v>2751</v>
      </c>
      <c r="AK121" s="32">
        <v>7694</v>
      </c>
      <c r="AL121" s="32">
        <v>35.799999999999997</v>
      </c>
    </row>
    <row r="122" spans="1:38" ht="13.5" hidden="1" customHeight="1">
      <c r="A122" s="30" t="s">
        <v>1981</v>
      </c>
      <c r="B122" s="30" t="s">
        <v>2052</v>
      </c>
      <c r="C122" s="30" t="s">
        <v>235</v>
      </c>
      <c r="D122" s="30" t="s">
        <v>2012</v>
      </c>
      <c r="E122" s="30" t="s">
        <v>2015</v>
      </c>
      <c r="F122" s="30" t="s">
        <v>2015</v>
      </c>
      <c r="G122" s="30"/>
      <c r="H122" s="30" t="s">
        <v>2015</v>
      </c>
      <c r="I122" s="30" t="s">
        <v>2260</v>
      </c>
      <c r="J122" s="30" t="s">
        <v>2261</v>
      </c>
      <c r="K122" s="30" t="s">
        <v>2038</v>
      </c>
      <c r="L122" s="30" t="s">
        <v>2017</v>
      </c>
      <c r="M122" s="30" t="s">
        <v>2018</v>
      </c>
      <c r="N122" s="30" t="s">
        <v>2038</v>
      </c>
      <c r="O122" s="30" t="s">
        <v>2039</v>
      </c>
      <c r="P122" s="32">
        <v>1307</v>
      </c>
      <c r="Q122" s="32">
        <v>579</v>
      </c>
      <c r="R122" s="32">
        <v>119</v>
      </c>
      <c r="S122" s="32">
        <v>86</v>
      </c>
      <c r="T122" s="32">
        <v>49</v>
      </c>
      <c r="U122" s="32">
        <v>123</v>
      </c>
      <c r="V122" s="32">
        <v>67</v>
      </c>
      <c r="W122" s="32">
        <v>27</v>
      </c>
      <c r="X122" s="32">
        <v>242</v>
      </c>
      <c r="Y122" s="32">
        <v>153</v>
      </c>
      <c r="Z122" s="32">
        <v>76</v>
      </c>
      <c r="AA122" s="32">
        <v>351</v>
      </c>
      <c r="AB122" s="32">
        <v>254</v>
      </c>
      <c r="AC122" s="32">
        <v>144</v>
      </c>
      <c r="AD122" s="32">
        <v>156</v>
      </c>
      <c r="AE122" s="32">
        <v>84</v>
      </c>
      <c r="AF122" s="32">
        <v>32</v>
      </c>
      <c r="AG122" s="32">
        <v>507</v>
      </c>
      <c r="AH122" s="32">
        <v>338</v>
      </c>
      <c r="AI122" s="32">
        <v>176</v>
      </c>
      <c r="AJ122" s="32">
        <v>507</v>
      </c>
      <c r="AK122" s="32">
        <v>1307</v>
      </c>
      <c r="AL122" s="32">
        <v>38.799999999999997</v>
      </c>
    </row>
    <row r="123" spans="1:38" ht="13.5" hidden="1" customHeight="1">
      <c r="A123" s="30" t="s">
        <v>1981</v>
      </c>
      <c r="B123" s="30" t="s">
        <v>2052</v>
      </c>
      <c r="C123" s="30" t="s">
        <v>235</v>
      </c>
      <c r="D123" s="30" t="s">
        <v>2012</v>
      </c>
      <c r="E123" s="30" t="s">
        <v>2015</v>
      </c>
      <c r="F123" s="30" t="s">
        <v>2015</v>
      </c>
      <c r="G123" s="30"/>
      <c r="H123" s="30" t="s">
        <v>2015</v>
      </c>
      <c r="I123" s="30" t="s">
        <v>2262</v>
      </c>
      <c r="J123" s="30" t="s">
        <v>2263</v>
      </c>
      <c r="K123" s="30" t="s">
        <v>2018</v>
      </c>
      <c r="L123" s="30" t="s">
        <v>2017</v>
      </c>
      <c r="M123" s="30" t="s">
        <v>2018</v>
      </c>
      <c r="N123" s="30" t="s">
        <v>2018</v>
      </c>
      <c r="O123" s="30" t="s">
        <v>2015</v>
      </c>
      <c r="P123" s="32">
        <v>2893</v>
      </c>
      <c r="Q123" s="32">
        <v>1344</v>
      </c>
      <c r="R123" s="32">
        <v>213</v>
      </c>
      <c r="S123" s="32">
        <v>81</v>
      </c>
      <c r="T123" s="32">
        <v>55</v>
      </c>
      <c r="U123" s="32">
        <v>236</v>
      </c>
      <c r="V123" s="32">
        <v>156</v>
      </c>
      <c r="W123" s="32">
        <v>68</v>
      </c>
      <c r="X123" s="32">
        <v>449</v>
      </c>
      <c r="Y123" s="32">
        <v>237</v>
      </c>
      <c r="Z123" s="32">
        <v>123</v>
      </c>
      <c r="AA123" s="32">
        <v>626</v>
      </c>
      <c r="AB123" s="32">
        <v>237</v>
      </c>
      <c r="AC123" s="32">
        <v>161</v>
      </c>
      <c r="AD123" s="32">
        <v>296</v>
      </c>
      <c r="AE123" s="32">
        <v>195</v>
      </c>
      <c r="AF123" s="32">
        <v>84</v>
      </c>
      <c r="AG123" s="32">
        <v>922</v>
      </c>
      <c r="AH123" s="32">
        <v>432</v>
      </c>
      <c r="AI123" s="32">
        <v>245</v>
      </c>
      <c r="AJ123" s="32">
        <v>922</v>
      </c>
      <c r="AK123" s="32">
        <v>2756</v>
      </c>
      <c r="AL123" s="32">
        <v>33.5</v>
      </c>
    </row>
    <row r="124" spans="1:38" ht="13.5" hidden="1" customHeight="1">
      <c r="A124" s="30" t="s">
        <v>1981</v>
      </c>
      <c r="B124" s="30" t="s">
        <v>2052</v>
      </c>
      <c r="C124" s="30" t="s">
        <v>235</v>
      </c>
      <c r="D124" s="30" t="s">
        <v>2012</v>
      </c>
      <c r="E124" s="30" t="s">
        <v>2015</v>
      </c>
      <c r="F124" s="30" t="s">
        <v>2015</v>
      </c>
      <c r="G124" s="30"/>
      <c r="H124" s="30" t="s">
        <v>2015</v>
      </c>
      <c r="I124" s="30" t="s">
        <v>2264</v>
      </c>
      <c r="J124" s="30" t="s">
        <v>2265</v>
      </c>
      <c r="K124" s="30" t="s">
        <v>2018</v>
      </c>
      <c r="L124" s="30" t="s">
        <v>2017</v>
      </c>
      <c r="M124" s="30" t="s">
        <v>2018</v>
      </c>
      <c r="N124" s="30" t="s">
        <v>2018</v>
      </c>
      <c r="O124" s="30" t="s">
        <v>2015</v>
      </c>
      <c r="P124" s="32">
        <v>1203</v>
      </c>
      <c r="Q124" s="32">
        <v>603</v>
      </c>
      <c r="R124" s="32">
        <v>100</v>
      </c>
      <c r="S124" s="32">
        <v>41</v>
      </c>
      <c r="T124" s="32">
        <v>29</v>
      </c>
      <c r="U124" s="32">
        <v>145</v>
      </c>
      <c r="V124" s="32">
        <v>82</v>
      </c>
      <c r="W124" s="32">
        <v>39</v>
      </c>
      <c r="X124" s="32">
        <v>245</v>
      </c>
      <c r="Y124" s="32">
        <v>123</v>
      </c>
      <c r="Z124" s="32">
        <v>68</v>
      </c>
      <c r="AA124" s="32">
        <v>292</v>
      </c>
      <c r="AB124" s="32">
        <v>127</v>
      </c>
      <c r="AC124" s="32">
        <v>84</v>
      </c>
      <c r="AD124" s="32">
        <v>156</v>
      </c>
      <c r="AE124" s="32">
        <v>86</v>
      </c>
      <c r="AF124" s="32">
        <v>39</v>
      </c>
      <c r="AG124" s="32">
        <v>448</v>
      </c>
      <c r="AH124" s="32">
        <v>213</v>
      </c>
      <c r="AI124" s="32">
        <v>123</v>
      </c>
      <c r="AJ124" s="32">
        <v>448</v>
      </c>
      <c r="AK124" s="32">
        <v>1060</v>
      </c>
      <c r="AL124" s="32">
        <v>42.3</v>
      </c>
    </row>
    <row r="125" spans="1:38" ht="13.5" hidden="1" customHeight="1">
      <c r="A125" s="30" t="s">
        <v>1981</v>
      </c>
      <c r="B125" s="30" t="s">
        <v>2052</v>
      </c>
      <c r="C125" s="30" t="s">
        <v>235</v>
      </c>
      <c r="D125" s="30" t="s">
        <v>2012</v>
      </c>
      <c r="E125" s="30" t="s">
        <v>2015</v>
      </c>
      <c r="F125" s="30" t="s">
        <v>2015</v>
      </c>
      <c r="G125" s="30"/>
      <c r="H125" s="30" t="s">
        <v>2015</v>
      </c>
      <c r="I125" s="30" t="s">
        <v>2266</v>
      </c>
      <c r="J125" s="30" t="s">
        <v>2267</v>
      </c>
      <c r="K125" s="30" t="s">
        <v>2018</v>
      </c>
      <c r="L125" s="30" t="s">
        <v>2017</v>
      </c>
      <c r="M125" s="30" t="s">
        <v>2018</v>
      </c>
      <c r="N125" s="30" t="s">
        <v>2018</v>
      </c>
      <c r="O125" s="30" t="s">
        <v>2015</v>
      </c>
      <c r="P125" s="32">
        <v>1044</v>
      </c>
      <c r="Q125" s="32">
        <v>553</v>
      </c>
      <c r="R125" s="32">
        <v>105</v>
      </c>
      <c r="S125" s="32">
        <v>50</v>
      </c>
      <c r="T125" s="32">
        <v>21</v>
      </c>
      <c r="U125" s="32">
        <v>108</v>
      </c>
      <c r="V125" s="32">
        <v>72</v>
      </c>
      <c r="W125" s="32">
        <v>28</v>
      </c>
      <c r="X125" s="32">
        <v>213</v>
      </c>
      <c r="Y125" s="32">
        <v>122</v>
      </c>
      <c r="Z125" s="32">
        <v>49</v>
      </c>
      <c r="AA125" s="32">
        <v>316</v>
      </c>
      <c r="AB125" s="32">
        <v>152</v>
      </c>
      <c r="AC125" s="32">
        <v>64</v>
      </c>
      <c r="AD125" s="32">
        <v>127</v>
      </c>
      <c r="AE125" s="32">
        <v>84</v>
      </c>
      <c r="AF125" s="32">
        <v>32</v>
      </c>
      <c r="AG125" s="32">
        <v>443</v>
      </c>
      <c r="AH125" s="32">
        <v>236</v>
      </c>
      <c r="AI125" s="32">
        <v>96</v>
      </c>
      <c r="AJ125" s="32">
        <v>443</v>
      </c>
      <c r="AK125" s="32">
        <v>1056</v>
      </c>
      <c r="AL125" s="32">
        <v>42</v>
      </c>
    </row>
    <row r="126" spans="1:38" ht="13.5" hidden="1" customHeight="1">
      <c r="A126" s="30" t="s">
        <v>1981</v>
      </c>
      <c r="B126" s="30" t="s">
        <v>2052</v>
      </c>
      <c r="C126" s="30" t="s">
        <v>235</v>
      </c>
      <c r="D126" s="30" t="s">
        <v>2012</v>
      </c>
      <c r="E126" s="30" t="s">
        <v>2015</v>
      </c>
      <c r="F126" s="30" t="s">
        <v>2015</v>
      </c>
      <c r="G126" s="30"/>
      <c r="H126" s="30" t="s">
        <v>2015</v>
      </c>
      <c r="I126" s="30" t="s">
        <v>2268</v>
      </c>
      <c r="J126" s="30" t="s">
        <v>2269</v>
      </c>
      <c r="K126" s="30" t="s">
        <v>2099</v>
      </c>
      <c r="L126" s="30" t="s">
        <v>2017</v>
      </c>
      <c r="M126" s="30" t="s">
        <v>2018</v>
      </c>
      <c r="N126" s="30" t="s">
        <v>2099</v>
      </c>
      <c r="O126" s="30" t="s">
        <v>2100</v>
      </c>
      <c r="P126" s="32">
        <v>3560</v>
      </c>
      <c r="Q126" s="32">
        <v>1433</v>
      </c>
      <c r="R126" s="32">
        <v>187</v>
      </c>
      <c r="S126" s="32">
        <v>101</v>
      </c>
      <c r="T126" s="32">
        <v>37</v>
      </c>
      <c r="U126" s="32">
        <v>290</v>
      </c>
      <c r="V126" s="32">
        <v>207</v>
      </c>
      <c r="W126" s="32">
        <v>101</v>
      </c>
      <c r="X126" s="32">
        <v>477</v>
      </c>
      <c r="Y126" s="32">
        <v>308</v>
      </c>
      <c r="Z126" s="32">
        <v>138</v>
      </c>
      <c r="AA126" s="32">
        <v>565</v>
      </c>
      <c r="AB126" s="32">
        <v>304</v>
      </c>
      <c r="AC126" s="32">
        <v>116</v>
      </c>
      <c r="AD126" s="32">
        <v>313</v>
      </c>
      <c r="AE126" s="32">
        <v>222</v>
      </c>
      <c r="AF126" s="32">
        <v>108</v>
      </c>
      <c r="AG126" s="32">
        <v>878</v>
      </c>
      <c r="AH126" s="32">
        <v>526</v>
      </c>
      <c r="AI126" s="32">
        <v>224</v>
      </c>
      <c r="AJ126" s="32">
        <v>878</v>
      </c>
      <c r="AK126" s="32">
        <v>3475</v>
      </c>
      <c r="AL126" s="32">
        <v>25.3</v>
      </c>
    </row>
    <row r="127" spans="1:38" ht="13.5" hidden="1" customHeight="1">
      <c r="A127" s="30" t="s">
        <v>1981</v>
      </c>
      <c r="B127" s="30" t="s">
        <v>2052</v>
      </c>
      <c r="C127" s="30" t="s">
        <v>235</v>
      </c>
      <c r="D127" s="30" t="s">
        <v>2012</v>
      </c>
      <c r="E127" s="30" t="s">
        <v>2015</v>
      </c>
      <c r="F127" s="30" t="s">
        <v>2015</v>
      </c>
      <c r="G127" s="30"/>
      <c r="H127" s="30" t="s">
        <v>2015</v>
      </c>
      <c r="I127" s="30" t="s">
        <v>2270</v>
      </c>
      <c r="J127" s="30" t="s">
        <v>2271</v>
      </c>
      <c r="K127" s="30" t="s">
        <v>2065</v>
      </c>
      <c r="L127" s="30" t="s">
        <v>2066</v>
      </c>
      <c r="M127" s="30" t="s">
        <v>2067</v>
      </c>
      <c r="N127" s="30" t="s">
        <v>2067</v>
      </c>
      <c r="O127" s="30" t="s">
        <v>2068</v>
      </c>
      <c r="P127" s="32">
        <v>3321</v>
      </c>
      <c r="Q127" s="32">
        <v>1601</v>
      </c>
      <c r="R127" s="32">
        <v>240</v>
      </c>
      <c r="S127" s="32">
        <v>120</v>
      </c>
      <c r="T127" s="32">
        <v>46</v>
      </c>
      <c r="U127" s="32">
        <v>325</v>
      </c>
      <c r="V127" s="32">
        <v>201</v>
      </c>
      <c r="W127" s="32">
        <v>100</v>
      </c>
      <c r="X127" s="32">
        <v>565</v>
      </c>
      <c r="Y127" s="32">
        <v>321</v>
      </c>
      <c r="Z127" s="32">
        <v>146</v>
      </c>
      <c r="AA127" s="32">
        <v>684</v>
      </c>
      <c r="AB127" s="32">
        <v>341</v>
      </c>
      <c r="AC127" s="32">
        <v>130</v>
      </c>
      <c r="AD127" s="32">
        <v>365</v>
      </c>
      <c r="AE127" s="32">
        <v>227</v>
      </c>
      <c r="AF127" s="32">
        <v>114</v>
      </c>
      <c r="AG127" s="32">
        <v>1049</v>
      </c>
      <c r="AH127" s="32">
        <v>568</v>
      </c>
      <c r="AI127" s="32">
        <v>244</v>
      </c>
      <c r="AJ127" s="32">
        <v>1049</v>
      </c>
      <c r="AK127" s="32">
        <v>3276</v>
      </c>
      <c r="AL127" s="32">
        <v>32</v>
      </c>
    </row>
    <row r="128" spans="1:38" ht="13.5" hidden="1" customHeight="1">
      <c r="A128" s="30" t="s">
        <v>2272</v>
      </c>
      <c r="B128" s="30" t="s">
        <v>2273</v>
      </c>
      <c r="C128" s="30" t="s">
        <v>235</v>
      </c>
      <c r="D128" s="30" t="s">
        <v>2012</v>
      </c>
      <c r="E128" s="30" t="s">
        <v>2013</v>
      </c>
      <c r="F128" s="30" t="s">
        <v>2014</v>
      </c>
      <c r="G128" s="30"/>
      <c r="H128" s="30" t="s">
        <v>2274</v>
      </c>
      <c r="I128" s="30" t="s">
        <v>2015</v>
      </c>
      <c r="J128" s="30" t="s">
        <v>2015</v>
      </c>
      <c r="K128" s="30" t="s">
        <v>2018</v>
      </c>
      <c r="L128" s="30" t="s">
        <v>2017</v>
      </c>
      <c r="M128" s="30" t="s">
        <v>2018</v>
      </c>
      <c r="N128" s="30" t="s">
        <v>2018</v>
      </c>
      <c r="O128" s="30" t="s">
        <v>2015</v>
      </c>
      <c r="P128" s="32">
        <v>3381</v>
      </c>
      <c r="Q128" s="32">
        <v>1257</v>
      </c>
      <c r="R128" s="32">
        <v>256</v>
      </c>
      <c r="S128" s="32">
        <v>113</v>
      </c>
      <c r="T128" s="32">
        <v>61</v>
      </c>
      <c r="U128" s="32">
        <v>94</v>
      </c>
      <c r="V128" s="32">
        <v>50</v>
      </c>
      <c r="W128" s="32">
        <v>24</v>
      </c>
      <c r="X128" s="32">
        <v>350</v>
      </c>
      <c r="Y128" s="32">
        <v>163</v>
      </c>
      <c r="Z128" s="32">
        <v>85</v>
      </c>
      <c r="AA128" s="32">
        <v>785</v>
      </c>
      <c r="AB128" s="32">
        <v>348</v>
      </c>
      <c r="AC128" s="32">
        <v>188</v>
      </c>
      <c r="AD128" s="32">
        <v>132</v>
      </c>
      <c r="AE128" s="32">
        <v>70</v>
      </c>
      <c r="AF128" s="32">
        <v>34</v>
      </c>
      <c r="AG128" s="32">
        <v>917</v>
      </c>
      <c r="AH128" s="32">
        <v>418</v>
      </c>
      <c r="AI128" s="32">
        <v>222</v>
      </c>
      <c r="AJ128" s="32">
        <v>917</v>
      </c>
      <c r="AK128" s="32">
        <v>3376</v>
      </c>
      <c r="AL128" s="32">
        <v>27.2</v>
      </c>
    </row>
    <row r="129" spans="1:39" ht="13.5" hidden="1" customHeight="1">
      <c r="A129" s="30" t="s">
        <v>2272</v>
      </c>
      <c r="B129" s="30" t="s">
        <v>2273</v>
      </c>
      <c r="C129" s="30" t="s">
        <v>235</v>
      </c>
      <c r="D129" s="30" t="s">
        <v>2012</v>
      </c>
      <c r="E129" s="30" t="s">
        <v>2013</v>
      </c>
      <c r="F129" s="30" t="s">
        <v>2014</v>
      </c>
      <c r="G129" s="30"/>
      <c r="H129" s="30" t="s">
        <v>2275</v>
      </c>
      <c r="I129" s="30" t="s">
        <v>2015</v>
      </c>
      <c r="J129" s="30" t="s">
        <v>2015</v>
      </c>
      <c r="K129" s="30" t="s">
        <v>2016</v>
      </c>
      <c r="L129" s="30" t="s">
        <v>2017</v>
      </c>
      <c r="M129" s="30" t="s">
        <v>2018</v>
      </c>
      <c r="N129" s="30" t="s">
        <v>2016</v>
      </c>
      <c r="O129" s="30" t="s">
        <v>2019</v>
      </c>
      <c r="P129" s="32">
        <v>4076</v>
      </c>
      <c r="Q129" s="32">
        <v>1680</v>
      </c>
      <c r="R129" s="32">
        <v>251</v>
      </c>
      <c r="S129" s="32">
        <v>96</v>
      </c>
      <c r="T129" s="32">
        <v>38</v>
      </c>
      <c r="U129" s="32">
        <v>168</v>
      </c>
      <c r="V129" s="32">
        <v>87</v>
      </c>
      <c r="W129" s="32">
        <v>32</v>
      </c>
      <c r="X129" s="32">
        <v>419</v>
      </c>
      <c r="Y129" s="32">
        <v>183</v>
      </c>
      <c r="Z129" s="32">
        <v>70</v>
      </c>
      <c r="AA129" s="32">
        <v>767</v>
      </c>
      <c r="AB129" s="32">
        <v>291</v>
      </c>
      <c r="AC129" s="32">
        <v>115</v>
      </c>
      <c r="AD129" s="32">
        <v>218</v>
      </c>
      <c r="AE129" s="32">
        <v>113</v>
      </c>
      <c r="AF129" s="32">
        <v>39</v>
      </c>
      <c r="AG129" s="32">
        <v>985</v>
      </c>
      <c r="AH129" s="32">
        <v>404</v>
      </c>
      <c r="AI129" s="32">
        <v>154</v>
      </c>
      <c r="AJ129" s="32">
        <v>985</v>
      </c>
      <c r="AK129" s="32">
        <v>4052</v>
      </c>
      <c r="AL129" s="32">
        <v>24.3</v>
      </c>
    </row>
    <row r="130" spans="1:39" ht="13.5" hidden="1" customHeight="1">
      <c r="A130" s="30" t="s">
        <v>2272</v>
      </c>
      <c r="B130" s="30" t="s">
        <v>2273</v>
      </c>
      <c r="C130" s="30" t="s">
        <v>235</v>
      </c>
      <c r="D130" s="30" t="s">
        <v>2012</v>
      </c>
      <c r="E130" s="30" t="s">
        <v>2013</v>
      </c>
      <c r="F130" s="30" t="s">
        <v>2014</v>
      </c>
      <c r="G130" s="30"/>
      <c r="H130" s="30" t="s">
        <v>2276</v>
      </c>
      <c r="I130" s="30" t="s">
        <v>2015</v>
      </c>
      <c r="J130" s="30" t="s">
        <v>2015</v>
      </c>
      <c r="K130" s="30" t="s">
        <v>2018</v>
      </c>
      <c r="L130" s="30" t="s">
        <v>2017</v>
      </c>
      <c r="M130" s="30" t="s">
        <v>2018</v>
      </c>
      <c r="N130" s="30" t="s">
        <v>2018</v>
      </c>
      <c r="O130" s="30" t="s">
        <v>2015</v>
      </c>
      <c r="P130" s="32">
        <v>2001</v>
      </c>
      <c r="Q130" s="32">
        <v>856</v>
      </c>
      <c r="R130" s="32">
        <v>223</v>
      </c>
      <c r="S130" s="32">
        <v>105</v>
      </c>
      <c r="T130" s="32">
        <v>33</v>
      </c>
      <c r="U130" s="32">
        <v>112</v>
      </c>
      <c r="V130" s="32">
        <v>67</v>
      </c>
      <c r="W130" s="32">
        <v>34</v>
      </c>
      <c r="X130" s="32">
        <v>335</v>
      </c>
      <c r="Y130" s="32">
        <v>172</v>
      </c>
      <c r="Z130" s="32">
        <v>67</v>
      </c>
      <c r="AA130" s="32">
        <v>714</v>
      </c>
      <c r="AB130" s="32">
        <v>336</v>
      </c>
      <c r="AC130" s="32">
        <v>106</v>
      </c>
      <c r="AD130" s="32">
        <v>146</v>
      </c>
      <c r="AE130" s="32">
        <v>87</v>
      </c>
      <c r="AF130" s="32">
        <v>44</v>
      </c>
      <c r="AG130" s="32">
        <v>860</v>
      </c>
      <c r="AH130" s="32">
        <v>423</v>
      </c>
      <c r="AI130" s="32">
        <v>150</v>
      </c>
      <c r="AJ130" s="32">
        <v>860</v>
      </c>
      <c r="AK130" s="32">
        <v>2001</v>
      </c>
      <c r="AL130" s="32">
        <v>43</v>
      </c>
    </row>
    <row r="131" spans="1:39" ht="13.5" hidden="1" customHeight="1">
      <c r="A131" s="30" t="s">
        <v>2272</v>
      </c>
      <c r="B131" s="30" t="s">
        <v>2273</v>
      </c>
      <c r="C131" s="30" t="s">
        <v>235</v>
      </c>
      <c r="D131" s="30" t="s">
        <v>2012</v>
      </c>
      <c r="E131" s="30" t="s">
        <v>2013</v>
      </c>
      <c r="F131" s="30" t="s">
        <v>2014</v>
      </c>
      <c r="G131" s="30"/>
      <c r="H131" s="30" t="s">
        <v>2277</v>
      </c>
      <c r="I131" s="30" t="s">
        <v>2015</v>
      </c>
      <c r="J131" s="30" t="s">
        <v>2015</v>
      </c>
      <c r="K131" s="30" t="s">
        <v>2016</v>
      </c>
      <c r="L131" s="30" t="s">
        <v>2017</v>
      </c>
      <c r="M131" s="30" t="s">
        <v>2018</v>
      </c>
      <c r="N131" s="30" t="s">
        <v>2016</v>
      </c>
      <c r="O131" s="30" t="s">
        <v>2019</v>
      </c>
      <c r="P131" s="32">
        <v>9077</v>
      </c>
      <c r="Q131" s="32">
        <v>3789</v>
      </c>
      <c r="R131" s="32">
        <v>873</v>
      </c>
      <c r="S131" s="32">
        <v>350</v>
      </c>
      <c r="T131" s="32">
        <v>145</v>
      </c>
      <c r="U131" s="32">
        <v>682</v>
      </c>
      <c r="V131" s="32">
        <v>386</v>
      </c>
      <c r="W131" s="32">
        <v>180</v>
      </c>
      <c r="X131" s="32">
        <v>1555</v>
      </c>
      <c r="Y131" s="32">
        <v>736</v>
      </c>
      <c r="Z131" s="32">
        <v>325</v>
      </c>
      <c r="AA131" s="32">
        <v>2656</v>
      </c>
      <c r="AB131" s="32">
        <v>1060</v>
      </c>
      <c r="AC131" s="32">
        <v>437</v>
      </c>
      <c r="AD131" s="32">
        <v>890</v>
      </c>
      <c r="AE131" s="32">
        <v>499</v>
      </c>
      <c r="AF131" s="32">
        <v>228</v>
      </c>
      <c r="AG131" s="32">
        <v>3546</v>
      </c>
      <c r="AH131" s="32">
        <v>1559</v>
      </c>
      <c r="AI131" s="32">
        <v>665</v>
      </c>
      <c r="AJ131" s="32">
        <v>3546</v>
      </c>
      <c r="AK131" s="32">
        <v>9045</v>
      </c>
      <c r="AL131" s="32">
        <v>39.200000000000003</v>
      </c>
    </row>
    <row r="132" spans="1:39" ht="13.5" hidden="1" customHeight="1">
      <c r="A132" s="30" t="s">
        <v>2272</v>
      </c>
      <c r="B132" s="30" t="s">
        <v>2273</v>
      </c>
      <c r="C132" s="30" t="s">
        <v>235</v>
      </c>
      <c r="D132" s="30" t="s">
        <v>2012</v>
      </c>
      <c r="E132" s="30" t="s">
        <v>2013</v>
      </c>
      <c r="F132" s="30" t="s">
        <v>2014</v>
      </c>
      <c r="G132" s="30"/>
      <c r="H132" s="30" t="s">
        <v>2278</v>
      </c>
      <c r="I132" s="30" t="s">
        <v>2015</v>
      </c>
      <c r="J132" s="30" t="s">
        <v>2015</v>
      </c>
      <c r="K132" s="30" t="s">
        <v>2018</v>
      </c>
      <c r="L132" s="30" t="s">
        <v>2017</v>
      </c>
      <c r="M132" s="30" t="s">
        <v>2018</v>
      </c>
      <c r="N132" s="30" t="s">
        <v>2018</v>
      </c>
      <c r="O132" s="30" t="s">
        <v>2015</v>
      </c>
      <c r="P132" s="32">
        <v>2106</v>
      </c>
      <c r="Q132" s="32">
        <v>1066</v>
      </c>
      <c r="R132" s="32">
        <v>186</v>
      </c>
      <c r="S132" s="32">
        <v>83</v>
      </c>
      <c r="T132" s="32">
        <v>13</v>
      </c>
      <c r="U132" s="32">
        <v>158</v>
      </c>
      <c r="V132" s="32">
        <v>105</v>
      </c>
      <c r="W132" s="32">
        <v>62</v>
      </c>
      <c r="X132" s="32">
        <v>344</v>
      </c>
      <c r="Y132" s="32">
        <v>188</v>
      </c>
      <c r="Z132" s="32">
        <v>75</v>
      </c>
      <c r="AA132" s="32">
        <v>557</v>
      </c>
      <c r="AB132" s="32">
        <v>251</v>
      </c>
      <c r="AC132" s="32">
        <v>40</v>
      </c>
      <c r="AD132" s="32">
        <v>190</v>
      </c>
      <c r="AE132" s="32">
        <v>126</v>
      </c>
      <c r="AF132" s="32">
        <v>74</v>
      </c>
      <c r="AG132" s="32">
        <v>747</v>
      </c>
      <c r="AH132" s="32">
        <v>377</v>
      </c>
      <c r="AI132" s="32">
        <v>114</v>
      </c>
      <c r="AJ132" s="32">
        <v>747</v>
      </c>
      <c r="AK132" s="32">
        <v>2106</v>
      </c>
      <c r="AL132" s="32">
        <v>35.5</v>
      </c>
    </row>
    <row r="133" spans="1:39" ht="13.5" hidden="1" customHeight="1">
      <c r="A133" s="30" t="s">
        <v>2272</v>
      </c>
      <c r="B133" s="30" t="s">
        <v>2273</v>
      </c>
      <c r="C133" s="30" t="s">
        <v>235</v>
      </c>
      <c r="D133" s="30" t="s">
        <v>2012</v>
      </c>
      <c r="E133" s="30" t="s">
        <v>2013</v>
      </c>
      <c r="F133" s="30" t="s">
        <v>2014</v>
      </c>
      <c r="G133" s="30"/>
      <c r="H133" s="30" t="s">
        <v>2279</v>
      </c>
      <c r="I133" s="30" t="s">
        <v>2015</v>
      </c>
      <c r="J133" s="30" t="s">
        <v>2015</v>
      </c>
      <c r="K133" s="30" t="s">
        <v>2018</v>
      </c>
      <c r="L133" s="30" t="s">
        <v>2017</v>
      </c>
      <c r="M133" s="30" t="s">
        <v>2018</v>
      </c>
      <c r="N133" s="30" t="s">
        <v>2018</v>
      </c>
      <c r="O133" s="30" t="s">
        <v>2015</v>
      </c>
      <c r="P133" s="32">
        <v>3227</v>
      </c>
      <c r="Q133" s="32">
        <v>1502</v>
      </c>
      <c r="R133" s="32">
        <v>456</v>
      </c>
      <c r="S133" s="32">
        <v>203</v>
      </c>
      <c r="T133" s="32">
        <v>110</v>
      </c>
      <c r="U133" s="32">
        <v>324</v>
      </c>
      <c r="V133" s="32">
        <v>238</v>
      </c>
      <c r="W133" s="32">
        <v>127</v>
      </c>
      <c r="X133" s="32">
        <v>780</v>
      </c>
      <c r="Y133" s="32">
        <v>441</v>
      </c>
      <c r="Z133" s="32">
        <v>237</v>
      </c>
      <c r="AA133" s="32">
        <v>1380</v>
      </c>
      <c r="AB133" s="32">
        <v>615</v>
      </c>
      <c r="AC133" s="32">
        <v>325</v>
      </c>
      <c r="AD133" s="32">
        <v>390</v>
      </c>
      <c r="AE133" s="32">
        <v>283</v>
      </c>
      <c r="AF133" s="32">
        <v>149</v>
      </c>
      <c r="AG133" s="32">
        <v>1770</v>
      </c>
      <c r="AH133" s="32">
        <v>898</v>
      </c>
      <c r="AI133" s="32">
        <v>474</v>
      </c>
      <c r="AJ133" s="32">
        <v>1770</v>
      </c>
      <c r="AK133" s="32">
        <v>3161</v>
      </c>
      <c r="AL133" s="32">
        <v>56</v>
      </c>
    </row>
    <row r="134" spans="1:39" ht="13.5" hidden="1" customHeight="1">
      <c r="A134" s="30" t="s">
        <v>2272</v>
      </c>
      <c r="B134" s="30" t="s">
        <v>2273</v>
      </c>
      <c r="C134" s="30" t="s">
        <v>235</v>
      </c>
      <c r="D134" s="30" t="s">
        <v>2012</v>
      </c>
      <c r="E134" s="30" t="s">
        <v>2013</v>
      </c>
      <c r="F134" s="30" t="s">
        <v>2014</v>
      </c>
      <c r="G134" s="30"/>
      <c r="H134" s="30" t="s">
        <v>2280</v>
      </c>
      <c r="I134" s="30" t="s">
        <v>2015</v>
      </c>
      <c r="J134" s="30" t="s">
        <v>2015</v>
      </c>
      <c r="K134" s="30" t="s">
        <v>2016</v>
      </c>
      <c r="L134" s="30" t="s">
        <v>2017</v>
      </c>
      <c r="M134" s="30" t="s">
        <v>2018</v>
      </c>
      <c r="N134" s="30" t="s">
        <v>2016</v>
      </c>
      <c r="O134" s="30" t="s">
        <v>2019</v>
      </c>
      <c r="P134" s="32">
        <v>3138</v>
      </c>
      <c r="Q134" s="32">
        <v>1242</v>
      </c>
      <c r="R134" s="32">
        <v>324</v>
      </c>
      <c r="S134" s="32">
        <v>162</v>
      </c>
      <c r="T134" s="32">
        <v>85</v>
      </c>
      <c r="U134" s="32">
        <v>225</v>
      </c>
      <c r="V134" s="32">
        <v>163</v>
      </c>
      <c r="W134" s="32">
        <v>94</v>
      </c>
      <c r="X134" s="32">
        <v>549</v>
      </c>
      <c r="Y134" s="32">
        <v>325</v>
      </c>
      <c r="Z134" s="32">
        <v>179</v>
      </c>
      <c r="AA134" s="32">
        <v>1038</v>
      </c>
      <c r="AB134" s="32">
        <v>513</v>
      </c>
      <c r="AC134" s="32">
        <v>267</v>
      </c>
      <c r="AD134" s="32">
        <v>293</v>
      </c>
      <c r="AE134" s="32">
        <v>212</v>
      </c>
      <c r="AF134" s="32">
        <v>122</v>
      </c>
      <c r="AG134" s="32">
        <v>1331</v>
      </c>
      <c r="AH134" s="32">
        <v>725</v>
      </c>
      <c r="AI134" s="32">
        <v>389</v>
      </c>
      <c r="AJ134" s="32">
        <v>1331</v>
      </c>
      <c r="AK134" s="32">
        <v>3104</v>
      </c>
      <c r="AL134" s="32">
        <v>42.9</v>
      </c>
    </row>
    <row r="135" spans="1:39" ht="13.5" hidden="1" customHeight="1">
      <c r="A135" s="30" t="s">
        <v>2272</v>
      </c>
      <c r="B135" s="30" t="s">
        <v>2273</v>
      </c>
      <c r="C135" s="30" t="s">
        <v>235</v>
      </c>
      <c r="D135" s="30" t="s">
        <v>2012</v>
      </c>
      <c r="E135" s="30" t="s">
        <v>2013</v>
      </c>
      <c r="F135" s="30" t="s">
        <v>2014</v>
      </c>
      <c r="G135" s="30"/>
      <c r="H135" s="30" t="s">
        <v>2281</v>
      </c>
      <c r="I135" s="30" t="s">
        <v>2015</v>
      </c>
      <c r="J135" s="30" t="s">
        <v>2015</v>
      </c>
      <c r="K135" s="30" t="s">
        <v>2018</v>
      </c>
      <c r="L135" s="30" t="s">
        <v>2017</v>
      </c>
      <c r="M135" s="30" t="s">
        <v>2018</v>
      </c>
      <c r="N135" s="30" t="s">
        <v>2018</v>
      </c>
      <c r="O135" s="30" t="s">
        <v>2015</v>
      </c>
      <c r="P135" s="32">
        <v>2248</v>
      </c>
      <c r="Q135" s="32">
        <v>824</v>
      </c>
      <c r="R135" s="32">
        <v>191</v>
      </c>
      <c r="S135" s="32">
        <v>60</v>
      </c>
      <c r="T135" s="32">
        <v>28</v>
      </c>
      <c r="U135" s="32">
        <v>78</v>
      </c>
      <c r="V135" s="32">
        <v>52</v>
      </c>
      <c r="W135" s="32">
        <v>21</v>
      </c>
      <c r="X135" s="32">
        <v>269</v>
      </c>
      <c r="Y135" s="32">
        <v>112</v>
      </c>
      <c r="Z135" s="32">
        <v>49</v>
      </c>
      <c r="AA135" s="32">
        <v>592</v>
      </c>
      <c r="AB135" s="32">
        <v>186</v>
      </c>
      <c r="AC135" s="32">
        <v>87</v>
      </c>
      <c r="AD135" s="32">
        <v>117</v>
      </c>
      <c r="AE135" s="32">
        <v>78</v>
      </c>
      <c r="AF135" s="32">
        <v>32</v>
      </c>
      <c r="AG135" s="32">
        <v>709</v>
      </c>
      <c r="AH135" s="32">
        <v>264</v>
      </c>
      <c r="AI135" s="32">
        <v>119</v>
      </c>
      <c r="AJ135" s="32">
        <v>709</v>
      </c>
      <c r="AK135" s="32">
        <v>2239</v>
      </c>
      <c r="AL135" s="32">
        <v>31.7</v>
      </c>
    </row>
    <row r="136" spans="1:39" ht="13.5" hidden="1" customHeight="1">
      <c r="A136" s="30" t="s">
        <v>2272</v>
      </c>
      <c r="B136" s="30" t="s">
        <v>2273</v>
      </c>
      <c r="C136" s="30" t="s">
        <v>235</v>
      </c>
      <c r="D136" s="30" t="s">
        <v>2012</v>
      </c>
      <c r="E136" s="30" t="s">
        <v>2013</v>
      </c>
      <c r="F136" s="30" t="s">
        <v>2014</v>
      </c>
      <c r="G136" s="30"/>
      <c r="H136" s="30" t="s">
        <v>2282</v>
      </c>
      <c r="I136" s="30" t="s">
        <v>2015</v>
      </c>
      <c r="J136" s="30" t="s">
        <v>2015</v>
      </c>
      <c r="K136" s="30" t="s">
        <v>2016</v>
      </c>
      <c r="L136" s="30" t="s">
        <v>2017</v>
      </c>
      <c r="M136" s="30" t="s">
        <v>2018</v>
      </c>
      <c r="N136" s="30" t="s">
        <v>2016</v>
      </c>
      <c r="O136" s="30" t="s">
        <v>2019</v>
      </c>
      <c r="P136" s="32">
        <v>4866</v>
      </c>
      <c r="Q136" s="32">
        <v>2316</v>
      </c>
      <c r="R136" s="32">
        <v>325</v>
      </c>
      <c r="S136" s="32">
        <v>133</v>
      </c>
      <c r="T136" s="32">
        <v>34</v>
      </c>
      <c r="U136" s="32">
        <v>231</v>
      </c>
      <c r="V136" s="32">
        <v>158</v>
      </c>
      <c r="W136" s="32">
        <v>81</v>
      </c>
      <c r="X136" s="32">
        <v>556</v>
      </c>
      <c r="Y136" s="32">
        <v>291</v>
      </c>
      <c r="Z136" s="32">
        <v>115</v>
      </c>
      <c r="AA136" s="32">
        <v>982</v>
      </c>
      <c r="AB136" s="32">
        <v>404</v>
      </c>
      <c r="AC136" s="32">
        <v>102</v>
      </c>
      <c r="AD136" s="32">
        <v>295</v>
      </c>
      <c r="AE136" s="32">
        <v>202</v>
      </c>
      <c r="AF136" s="32">
        <v>104</v>
      </c>
      <c r="AG136" s="32">
        <v>1277</v>
      </c>
      <c r="AH136" s="32">
        <v>606</v>
      </c>
      <c r="AI136" s="32">
        <v>206</v>
      </c>
      <c r="AJ136" s="32">
        <v>1277</v>
      </c>
      <c r="AK136" s="32">
        <v>4861</v>
      </c>
      <c r="AL136" s="32">
        <v>26.3</v>
      </c>
    </row>
    <row r="137" spans="1:39" ht="13.5" hidden="1" customHeight="1">
      <c r="A137" s="30" t="s">
        <v>2272</v>
      </c>
      <c r="B137" s="30" t="s">
        <v>2273</v>
      </c>
      <c r="C137" s="30" t="s">
        <v>235</v>
      </c>
      <c r="D137" s="30" t="s">
        <v>2012</v>
      </c>
      <c r="E137" s="30" t="s">
        <v>2013</v>
      </c>
      <c r="F137" s="30" t="s">
        <v>2014</v>
      </c>
      <c r="G137" s="30"/>
      <c r="H137" s="30" t="s">
        <v>2283</v>
      </c>
      <c r="I137" s="30" t="s">
        <v>2015</v>
      </c>
      <c r="J137" s="30" t="s">
        <v>2015</v>
      </c>
      <c r="K137" s="30" t="s">
        <v>2016</v>
      </c>
      <c r="L137" s="30" t="s">
        <v>2017</v>
      </c>
      <c r="M137" s="30" t="s">
        <v>2018</v>
      </c>
      <c r="N137" s="30" t="s">
        <v>2016</v>
      </c>
      <c r="O137" s="30" t="s">
        <v>2019</v>
      </c>
      <c r="P137" s="32">
        <v>4486</v>
      </c>
      <c r="Q137" s="32">
        <v>1843</v>
      </c>
      <c r="R137" s="32">
        <v>411</v>
      </c>
      <c r="S137" s="32">
        <v>178</v>
      </c>
      <c r="T137" s="32">
        <v>47</v>
      </c>
      <c r="U137" s="32">
        <v>168</v>
      </c>
      <c r="V137" s="32">
        <v>97</v>
      </c>
      <c r="W137" s="32">
        <v>49</v>
      </c>
      <c r="X137" s="32">
        <v>579</v>
      </c>
      <c r="Y137" s="32">
        <v>275</v>
      </c>
      <c r="Z137" s="32">
        <v>96</v>
      </c>
      <c r="AA137" s="32">
        <v>1221</v>
      </c>
      <c r="AB137" s="32">
        <v>524</v>
      </c>
      <c r="AC137" s="32">
        <v>140</v>
      </c>
      <c r="AD137" s="32">
        <v>192</v>
      </c>
      <c r="AE137" s="32">
        <v>116</v>
      </c>
      <c r="AF137" s="32">
        <v>58</v>
      </c>
      <c r="AG137" s="32">
        <v>1413</v>
      </c>
      <c r="AH137" s="32">
        <v>640</v>
      </c>
      <c r="AI137" s="32">
        <v>198</v>
      </c>
      <c r="AJ137" s="32">
        <v>1413</v>
      </c>
      <c r="AK137" s="32">
        <v>4461</v>
      </c>
      <c r="AL137" s="32">
        <v>31.7</v>
      </c>
    </row>
    <row r="138" spans="1:39" ht="13.5" hidden="1" customHeight="1">
      <c r="A138" s="30" t="s">
        <v>2272</v>
      </c>
      <c r="B138" s="30" t="s">
        <v>2273</v>
      </c>
      <c r="C138" s="30" t="s">
        <v>235</v>
      </c>
      <c r="D138" s="30" t="s">
        <v>2012</v>
      </c>
      <c r="E138" s="30" t="s">
        <v>2013</v>
      </c>
      <c r="F138" s="30" t="s">
        <v>2014</v>
      </c>
      <c r="G138" s="30"/>
      <c r="H138" s="30" t="s">
        <v>2284</v>
      </c>
      <c r="I138" s="30" t="s">
        <v>2015</v>
      </c>
      <c r="J138" s="30" t="s">
        <v>2015</v>
      </c>
      <c r="K138" s="30" t="s">
        <v>2016</v>
      </c>
      <c r="L138" s="30" t="s">
        <v>2017</v>
      </c>
      <c r="M138" s="30" t="s">
        <v>2018</v>
      </c>
      <c r="N138" s="30" t="s">
        <v>2016</v>
      </c>
      <c r="O138" s="30" t="s">
        <v>2019</v>
      </c>
      <c r="P138" s="32">
        <v>4972</v>
      </c>
      <c r="Q138" s="32">
        <v>1977</v>
      </c>
      <c r="R138" s="32">
        <v>349</v>
      </c>
      <c r="S138" s="32">
        <v>159</v>
      </c>
      <c r="T138" s="32">
        <v>43</v>
      </c>
      <c r="U138" s="32">
        <v>230</v>
      </c>
      <c r="V138" s="32">
        <v>158</v>
      </c>
      <c r="W138" s="32">
        <v>93</v>
      </c>
      <c r="X138" s="32">
        <v>579</v>
      </c>
      <c r="Y138" s="32">
        <v>317</v>
      </c>
      <c r="Z138" s="32">
        <v>136</v>
      </c>
      <c r="AA138" s="32">
        <v>1122</v>
      </c>
      <c r="AB138" s="32">
        <v>509</v>
      </c>
      <c r="AC138" s="32">
        <v>137</v>
      </c>
      <c r="AD138" s="32">
        <v>291</v>
      </c>
      <c r="AE138" s="32">
        <v>199</v>
      </c>
      <c r="AF138" s="32">
        <v>117</v>
      </c>
      <c r="AG138" s="32">
        <v>1413</v>
      </c>
      <c r="AH138" s="32">
        <v>708</v>
      </c>
      <c r="AI138" s="32">
        <v>254</v>
      </c>
      <c r="AJ138" s="32">
        <v>1413</v>
      </c>
      <c r="AK138" s="32">
        <v>4963</v>
      </c>
      <c r="AL138" s="32">
        <v>28.5</v>
      </c>
    </row>
    <row r="139" spans="1:39" ht="13.5" hidden="1" customHeight="1">
      <c r="A139" s="30" t="s">
        <v>2272</v>
      </c>
      <c r="B139" s="30" t="s">
        <v>2273</v>
      </c>
      <c r="C139" s="30" t="s">
        <v>235</v>
      </c>
      <c r="D139" s="30" t="s">
        <v>2012</v>
      </c>
      <c r="E139" s="30" t="s">
        <v>2013</v>
      </c>
      <c r="F139" s="30" t="s">
        <v>2014</v>
      </c>
      <c r="G139" s="30"/>
      <c r="H139" s="30" t="s">
        <v>2285</v>
      </c>
      <c r="I139" s="30" t="s">
        <v>2015</v>
      </c>
      <c r="J139" s="30" t="s">
        <v>2015</v>
      </c>
      <c r="K139" s="30" t="s">
        <v>2016</v>
      </c>
      <c r="L139" s="30" t="s">
        <v>2017</v>
      </c>
      <c r="M139" s="30" t="s">
        <v>2018</v>
      </c>
      <c r="N139" s="30" t="s">
        <v>2016</v>
      </c>
      <c r="O139" s="30" t="s">
        <v>2019</v>
      </c>
      <c r="P139" s="32">
        <v>1322</v>
      </c>
      <c r="Q139" s="32">
        <v>530</v>
      </c>
      <c r="R139" s="32">
        <v>126</v>
      </c>
      <c r="S139" s="32">
        <v>43</v>
      </c>
      <c r="T139" s="32">
        <v>13</v>
      </c>
      <c r="U139" s="32">
        <v>48</v>
      </c>
      <c r="V139" s="32">
        <v>31</v>
      </c>
      <c r="W139" s="32">
        <v>16</v>
      </c>
      <c r="X139" s="32">
        <v>174</v>
      </c>
      <c r="Y139" s="32">
        <v>74</v>
      </c>
      <c r="Z139" s="32">
        <v>29</v>
      </c>
      <c r="AA139" s="32">
        <v>391</v>
      </c>
      <c r="AB139" s="32">
        <v>133</v>
      </c>
      <c r="AC139" s="32">
        <v>40</v>
      </c>
      <c r="AD139" s="32">
        <v>67</v>
      </c>
      <c r="AE139" s="32">
        <v>43</v>
      </c>
      <c r="AF139" s="32">
        <v>22</v>
      </c>
      <c r="AG139" s="32">
        <v>458</v>
      </c>
      <c r="AH139" s="32">
        <v>176</v>
      </c>
      <c r="AI139" s="32">
        <v>62</v>
      </c>
      <c r="AJ139" s="32">
        <v>458</v>
      </c>
      <c r="AK139" s="32">
        <v>1322</v>
      </c>
      <c r="AL139" s="32">
        <v>34.6</v>
      </c>
    </row>
    <row r="140" spans="1:39" s="37" customFormat="1" ht="13.5" customHeight="1">
      <c r="A140" s="30" t="s">
        <v>2272</v>
      </c>
      <c r="B140" s="30" t="s">
        <v>2273</v>
      </c>
      <c r="C140" s="30" t="s">
        <v>235</v>
      </c>
      <c r="D140" s="30" t="s">
        <v>2012</v>
      </c>
      <c r="E140" s="30" t="s">
        <v>2020</v>
      </c>
      <c r="F140" s="38" t="s">
        <v>2021</v>
      </c>
      <c r="G140" s="38"/>
      <c r="H140" s="38" t="s">
        <v>2286</v>
      </c>
      <c r="I140" s="38" t="s">
        <v>2015</v>
      </c>
      <c r="J140" s="38" t="s">
        <v>2015</v>
      </c>
      <c r="K140" s="38" t="s">
        <v>2018</v>
      </c>
      <c r="L140" s="38" t="s">
        <v>2017</v>
      </c>
      <c r="M140" s="38" t="s">
        <v>2018</v>
      </c>
      <c r="N140" s="38" t="s">
        <v>2018</v>
      </c>
      <c r="O140" s="38" t="s">
        <v>2015</v>
      </c>
      <c r="P140" s="39">
        <v>277</v>
      </c>
      <c r="Q140" s="39">
        <v>304</v>
      </c>
      <c r="R140" s="39">
        <v>45</v>
      </c>
      <c r="S140" s="39">
        <v>26</v>
      </c>
      <c r="T140" s="39">
        <v>12</v>
      </c>
      <c r="U140" s="39">
        <v>47</v>
      </c>
      <c r="V140" s="39">
        <v>40</v>
      </c>
      <c r="W140" s="39">
        <v>22</v>
      </c>
      <c r="X140" s="39">
        <v>92</v>
      </c>
      <c r="Y140" s="39">
        <v>66</v>
      </c>
      <c r="Z140" s="39">
        <v>34</v>
      </c>
      <c r="AA140" s="39">
        <v>131</v>
      </c>
      <c r="AB140" s="39">
        <v>75</v>
      </c>
      <c r="AC140" s="39">
        <v>35</v>
      </c>
      <c r="AD140" s="39">
        <v>52</v>
      </c>
      <c r="AE140" s="39">
        <v>44</v>
      </c>
      <c r="AF140" s="39">
        <v>24</v>
      </c>
      <c r="AG140" s="39">
        <v>183</v>
      </c>
      <c r="AH140" s="39">
        <v>119</v>
      </c>
      <c r="AI140" s="39">
        <v>59</v>
      </c>
      <c r="AJ140" s="39">
        <v>183</v>
      </c>
      <c r="AK140" s="39">
        <v>271</v>
      </c>
      <c r="AL140" s="39">
        <v>67.5</v>
      </c>
      <c r="AM140" s="36"/>
    </row>
    <row r="141" spans="1:39" s="37" customFormat="1" ht="13.5" customHeight="1">
      <c r="A141" s="30" t="s">
        <v>2272</v>
      </c>
      <c r="B141" s="30" t="s">
        <v>2273</v>
      </c>
      <c r="C141" s="30" t="s">
        <v>235</v>
      </c>
      <c r="D141" s="30" t="s">
        <v>2012</v>
      </c>
      <c r="E141" s="30" t="s">
        <v>2020</v>
      </c>
      <c r="F141" s="38" t="s">
        <v>2021</v>
      </c>
      <c r="G141" s="38"/>
      <c r="H141" s="38" t="s">
        <v>2287</v>
      </c>
      <c r="I141" s="38" t="s">
        <v>2015</v>
      </c>
      <c r="J141" s="38" t="s">
        <v>2015</v>
      </c>
      <c r="K141" s="38" t="s">
        <v>2018</v>
      </c>
      <c r="L141" s="38" t="s">
        <v>2017</v>
      </c>
      <c r="M141" s="38" t="s">
        <v>2018</v>
      </c>
      <c r="N141" s="38" t="s">
        <v>2018</v>
      </c>
      <c r="O141" s="38" t="s">
        <v>2015</v>
      </c>
      <c r="P141" s="39">
        <v>199</v>
      </c>
      <c r="Q141" s="39">
        <v>122</v>
      </c>
      <c r="R141" s="39">
        <v>38</v>
      </c>
      <c r="S141" s="39">
        <v>24</v>
      </c>
      <c r="T141" s="39">
        <v>10</v>
      </c>
      <c r="U141" s="39">
        <v>6</v>
      </c>
      <c r="V141" s="39">
        <v>1</v>
      </c>
      <c r="W141" s="39">
        <v>0</v>
      </c>
      <c r="X141" s="39">
        <v>44</v>
      </c>
      <c r="Y141" s="39">
        <v>25</v>
      </c>
      <c r="Z141" s="39">
        <v>10</v>
      </c>
      <c r="AA141" s="39">
        <v>114</v>
      </c>
      <c r="AB141" s="39">
        <v>72</v>
      </c>
      <c r="AC141" s="39">
        <v>30</v>
      </c>
      <c r="AD141" s="39">
        <v>8</v>
      </c>
      <c r="AE141" s="39">
        <v>1</v>
      </c>
      <c r="AF141" s="39">
        <v>0</v>
      </c>
      <c r="AG141" s="39">
        <v>122</v>
      </c>
      <c r="AH141" s="39">
        <v>73</v>
      </c>
      <c r="AI141" s="39">
        <v>30</v>
      </c>
      <c r="AJ141" s="39">
        <v>122</v>
      </c>
      <c r="AK141" s="39">
        <v>197</v>
      </c>
      <c r="AL141" s="39">
        <v>61.9</v>
      </c>
      <c r="AM141" s="36"/>
    </row>
    <row r="142" spans="1:39" s="37" customFormat="1" ht="13.5" customHeight="1">
      <c r="A142" s="30" t="s">
        <v>2272</v>
      </c>
      <c r="B142" s="30" t="s">
        <v>2273</v>
      </c>
      <c r="C142" s="30" t="s">
        <v>235</v>
      </c>
      <c r="D142" s="30" t="s">
        <v>2012</v>
      </c>
      <c r="E142" s="30" t="s">
        <v>2020</v>
      </c>
      <c r="F142" s="38" t="s">
        <v>2021</v>
      </c>
      <c r="G142" s="38"/>
      <c r="H142" s="38" t="s">
        <v>2288</v>
      </c>
      <c r="I142" s="38" t="s">
        <v>2015</v>
      </c>
      <c r="J142" s="38" t="s">
        <v>2015</v>
      </c>
      <c r="K142" s="38" t="s">
        <v>2018</v>
      </c>
      <c r="L142" s="38" t="s">
        <v>2017</v>
      </c>
      <c r="M142" s="38" t="s">
        <v>2018</v>
      </c>
      <c r="N142" s="38" t="s">
        <v>2018</v>
      </c>
      <c r="O142" s="38" t="s">
        <v>2015</v>
      </c>
      <c r="P142" s="39">
        <v>1474</v>
      </c>
      <c r="Q142" s="39">
        <v>760</v>
      </c>
      <c r="R142" s="39">
        <v>145</v>
      </c>
      <c r="S142" s="39">
        <v>81</v>
      </c>
      <c r="T142" s="39">
        <v>31</v>
      </c>
      <c r="U142" s="39">
        <v>166</v>
      </c>
      <c r="V142" s="39">
        <v>116</v>
      </c>
      <c r="W142" s="39">
        <v>83</v>
      </c>
      <c r="X142" s="39">
        <v>311</v>
      </c>
      <c r="Y142" s="39">
        <v>197</v>
      </c>
      <c r="Z142" s="39">
        <v>114</v>
      </c>
      <c r="AA142" s="39">
        <v>443</v>
      </c>
      <c r="AB142" s="39">
        <v>248</v>
      </c>
      <c r="AC142" s="39">
        <v>95</v>
      </c>
      <c r="AD142" s="39">
        <v>200</v>
      </c>
      <c r="AE142" s="39">
        <v>139</v>
      </c>
      <c r="AF142" s="39">
        <v>99</v>
      </c>
      <c r="AG142" s="39">
        <v>643</v>
      </c>
      <c r="AH142" s="39">
        <v>387</v>
      </c>
      <c r="AI142" s="39">
        <v>194</v>
      </c>
      <c r="AJ142" s="39">
        <v>643</v>
      </c>
      <c r="AK142" s="39">
        <v>1505</v>
      </c>
      <c r="AL142" s="39">
        <v>42.7</v>
      </c>
      <c r="AM142" s="36"/>
    </row>
    <row r="143" spans="1:39" s="37" customFormat="1" ht="13.5" customHeight="1">
      <c r="A143" s="30" t="s">
        <v>2272</v>
      </c>
      <c r="B143" s="30" t="s">
        <v>2273</v>
      </c>
      <c r="C143" s="30" t="s">
        <v>235</v>
      </c>
      <c r="D143" s="30" t="s">
        <v>2012</v>
      </c>
      <c r="E143" s="30" t="s">
        <v>2020</v>
      </c>
      <c r="F143" s="38" t="s">
        <v>2021</v>
      </c>
      <c r="G143" s="38"/>
      <c r="H143" s="38" t="s">
        <v>2289</v>
      </c>
      <c r="I143" s="38" t="s">
        <v>2015</v>
      </c>
      <c r="J143" s="38" t="s">
        <v>2015</v>
      </c>
      <c r="K143" s="38" t="s">
        <v>2018</v>
      </c>
      <c r="L143" s="38" t="s">
        <v>2017</v>
      </c>
      <c r="M143" s="38" t="s">
        <v>2018</v>
      </c>
      <c r="N143" s="38" t="s">
        <v>2018</v>
      </c>
      <c r="O143" s="38" t="s">
        <v>2015</v>
      </c>
      <c r="P143" s="39">
        <v>61</v>
      </c>
      <c r="Q143" s="39">
        <v>82</v>
      </c>
      <c r="R143" s="39">
        <v>7</v>
      </c>
      <c r="S143" s="39">
        <v>5</v>
      </c>
      <c r="T143" s="39">
        <v>2</v>
      </c>
      <c r="U143" s="39">
        <v>10</v>
      </c>
      <c r="V143" s="39">
        <v>7</v>
      </c>
      <c r="W143" s="39">
        <v>6</v>
      </c>
      <c r="X143" s="39">
        <v>17</v>
      </c>
      <c r="Y143" s="39">
        <v>12</v>
      </c>
      <c r="Z143" s="39">
        <v>8</v>
      </c>
      <c r="AA143" s="39">
        <v>18</v>
      </c>
      <c r="AB143" s="39">
        <v>13</v>
      </c>
      <c r="AC143" s="39">
        <v>5</v>
      </c>
      <c r="AD143" s="39">
        <v>10</v>
      </c>
      <c r="AE143" s="39">
        <v>7</v>
      </c>
      <c r="AF143" s="39">
        <v>6</v>
      </c>
      <c r="AG143" s="39">
        <v>28</v>
      </c>
      <c r="AH143" s="39">
        <v>20</v>
      </c>
      <c r="AI143" s="39">
        <v>11</v>
      </c>
      <c r="AJ143" s="39">
        <v>28</v>
      </c>
      <c r="AK143" s="39">
        <v>40</v>
      </c>
      <c r="AL143" s="39">
        <v>70</v>
      </c>
      <c r="AM143" s="36"/>
    </row>
    <row r="144" spans="1:39" s="37" customFormat="1" ht="13.5" customHeight="1">
      <c r="A144" s="30" t="s">
        <v>2272</v>
      </c>
      <c r="B144" s="30" t="s">
        <v>2273</v>
      </c>
      <c r="C144" s="30" t="s">
        <v>235</v>
      </c>
      <c r="D144" s="30" t="s">
        <v>2012</v>
      </c>
      <c r="E144" s="30" t="s">
        <v>2020</v>
      </c>
      <c r="F144" s="159" t="s">
        <v>2021</v>
      </c>
      <c r="G144" s="159"/>
      <c r="H144" s="159" t="s">
        <v>2290</v>
      </c>
      <c r="I144" s="159" t="s">
        <v>2015</v>
      </c>
      <c r="J144" s="159" t="s">
        <v>2015</v>
      </c>
      <c r="K144" s="159" t="s">
        <v>2018</v>
      </c>
      <c r="L144" s="159" t="s">
        <v>2017</v>
      </c>
      <c r="M144" s="159" t="s">
        <v>2018</v>
      </c>
      <c r="N144" s="159" t="s">
        <v>2018</v>
      </c>
      <c r="O144" s="159" t="s">
        <v>2015</v>
      </c>
      <c r="P144" s="160">
        <v>806</v>
      </c>
      <c r="Q144" s="160">
        <v>340</v>
      </c>
      <c r="R144" s="160">
        <v>116</v>
      </c>
      <c r="S144" s="160">
        <v>51</v>
      </c>
      <c r="T144" s="160">
        <v>15</v>
      </c>
      <c r="U144" s="160">
        <v>53</v>
      </c>
      <c r="V144" s="160">
        <v>40</v>
      </c>
      <c r="W144" s="160">
        <v>29</v>
      </c>
      <c r="X144" s="160">
        <v>169</v>
      </c>
      <c r="Y144" s="160">
        <v>91</v>
      </c>
      <c r="Z144" s="160">
        <v>44</v>
      </c>
      <c r="AA144" s="160">
        <v>365</v>
      </c>
      <c r="AB144" s="160">
        <v>160</v>
      </c>
      <c r="AC144" s="160">
        <v>47</v>
      </c>
      <c r="AD144" s="160">
        <v>64</v>
      </c>
      <c r="AE144" s="160">
        <v>48</v>
      </c>
      <c r="AF144" s="160">
        <v>35</v>
      </c>
      <c r="AG144" s="160">
        <v>429</v>
      </c>
      <c r="AH144" s="160">
        <v>208</v>
      </c>
      <c r="AI144" s="160">
        <v>82</v>
      </c>
      <c r="AJ144" s="160">
        <v>429</v>
      </c>
      <c r="AK144" s="160">
        <v>799</v>
      </c>
      <c r="AL144" s="160">
        <v>53.7</v>
      </c>
      <c r="AM144" s="36"/>
    </row>
    <row r="145" spans="1:39" s="37" customFormat="1" ht="13.5" customHeight="1">
      <c r="A145" s="30" t="s">
        <v>2272</v>
      </c>
      <c r="B145" s="30" t="s">
        <v>2273</v>
      </c>
      <c r="C145" s="30" t="s">
        <v>235</v>
      </c>
      <c r="D145" s="30" t="s">
        <v>2012</v>
      </c>
      <c r="E145" s="30" t="s">
        <v>2020</v>
      </c>
      <c r="F145" s="38" t="s">
        <v>2021</v>
      </c>
      <c r="G145" s="38"/>
      <c r="H145" s="38" t="s">
        <v>2291</v>
      </c>
      <c r="I145" s="38" t="s">
        <v>2015</v>
      </c>
      <c r="J145" s="38" t="s">
        <v>2015</v>
      </c>
      <c r="K145" s="38" t="s">
        <v>2018</v>
      </c>
      <c r="L145" s="38" t="s">
        <v>2017</v>
      </c>
      <c r="M145" s="38" t="s">
        <v>2018</v>
      </c>
      <c r="N145" s="38" t="s">
        <v>2018</v>
      </c>
      <c r="O145" s="38" t="s">
        <v>2015</v>
      </c>
      <c r="P145" s="39">
        <v>612</v>
      </c>
      <c r="Q145" s="39">
        <v>316</v>
      </c>
      <c r="R145" s="39">
        <v>80</v>
      </c>
      <c r="S145" s="39">
        <v>43</v>
      </c>
      <c r="T145" s="39">
        <v>18</v>
      </c>
      <c r="U145" s="39">
        <v>52</v>
      </c>
      <c r="V145" s="39">
        <v>40</v>
      </c>
      <c r="W145" s="39">
        <v>19</v>
      </c>
      <c r="X145" s="39">
        <v>132</v>
      </c>
      <c r="Y145" s="39">
        <v>83</v>
      </c>
      <c r="Z145" s="39">
        <v>37</v>
      </c>
      <c r="AA145" s="39">
        <v>240</v>
      </c>
      <c r="AB145" s="39">
        <v>129</v>
      </c>
      <c r="AC145" s="39">
        <v>54</v>
      </c>
      <c r="AD145" s="39">
        <v>57</v>
      </c>
      <c r="AE145" s="39">
        <v>44</v>
      </c>
      <c r="AF145" s="39">
        <v>21</v>
      </c>
      <c r="AG145" s="39">
        <v>297</v>
      </c>
      <c r="AH145" s="39">
        <v>173</v>
      </c>
      <c r="AI145" s="39">
        <v>75</v>
      </c>
      <c r="AJ145" s="39">
        <v>297</v>
      </c>
      <c r="AK145" s="39">
        <v>615</v>
      </c>
      <c r="AL145" s="39">
        <v>48.3</v>
      </c>
      <c r="AM145" s="36"/>
    </row>
    <row r="146" spans="1:39" s="37" customFormat="1" ht="13.5" customHeight="1">
      <c r="A146" s="30" t="s">
        <v>2272</v>
      </c>
      <c r="B146" s="30" t="s">
        <v>2273</v>
      </c>
      <c r="C146" s="30" t="s">
        <v>235</v>
      </c>
      <c r="D146" s="30" t="s">
        <v>2012</v>
      </c>
      <c r="E146" s="30" t="s">
        <v>2020</v>
      </c>
      <c r="F146" s="38" t="s">
        <v>2021</v>
      </c>
      <c r="G146" s="38"/>
      <c r="H146" s="38" t="s">
        <v>2092</v>
      </c>
      <c r="I146" s="38" t="s">
        <v>2015</v>
      </c>
      <c r="J146" s="38" t="s">
        <v>2015</v>
      </c>
      <c r="K146" s="38" t="s">
        <v>2018</v>
      </c>
      <c r="L146" s="38" t="s">
        <v>2017</v>
      </c>
      <c r="M146" s="38" t="s">
        <v>2018</v>
      </c>
      <c r="N146" s="38" t="s">
        <v>2018</v>
      </c>
      <c r="O146" s="38" t="s">
        <v>2015</v>
      </c>
      <c r="P146" s="39">
        <v>8312</v>
      </c>
      <c r="Q146" s="39">
        <v>3858</v>
      </c>
      <c r="R146" s="39">
        <v>912</v>
      </c>
      <c r="S146" s="39">
        <v>502</v>
      </c>
      <c r="T146" s="39">
        <v>204</v>
      </c>
      <c r="U146" s="39">
        <v>877</v>
      </c>
      <c r="V146" s="39">
        <v>617</v>
      </c>
      <c r="W146" s="39">
        <v>357</v>
      </c>
      <c r="X146" s="39">
        <v>1789</v>
      </c>
      <c r="Y146" s="39">
        <v>1119</v>
      </c>
      <c r="Z146" s="39">
        <v>561</v>
      </c>
      <c r="AA146" s="39">
        <v>2650</v>
      </c>
      <c r="AB146" s="39">
        <v>1461</v>
      </c>
      <c r="AC146" s="39">
        <v>591</v>
      </c>
      <c r="AD146" s="39">
        <v>984</v>
      </c>
      <c r="AE146" s="39">
        <v>686</v>
      </c>
      <c r="AF146" s="39">
        <v>395</v>
      </c>
      <c r="AG146" s="39">
        <v>3634</v>
      </c>
      <c r="AH146" s="39">
        <v>2147</v>
      </c>
      <c r="AI146" s="39">
        <v>986</v>
      </c>
      <c r="AJ146" s="39">
        <v>3634</v>
      </c>
      <c r="AK146" s="39">
        <v>8145</v>
      </c>
      <c r="AL146" s="39">
        <v>44.6</v>
      </c>
      <c r="AM146" s="36"/>
    </row>
    <row r="147" spans="1:39" s="37" customFormat="1" ht="13.5" customHeight="1">
      <c r="A147" s="30" t="s">
        <v>2272</v>
      </c>
      <c r="B147" s="30" t="s">
        <v>2273</v>
      </c>
      <c r="C147" s="30" t="s">
        <v>235</v>
      </c>
      <c r="D147" s="30" t="s">
        <v>2012</v>
      </c>
      <c r="E147" s="30" t="s">
        <v>2020</v>
      </c>
      <c r="F147" s="38" t="s">
        <v>2021</v>
      </c>
      <c r="G147" s="38"/>
      <c r="H147" s="38" t="s">
        <v>2292</v>
      </c>
      <c r="I147" s="38" t="s">
        <v>2015</v>
      </c>
      <c r="J147" s="38" t="s">
        <v>2015</v>
      </c>
      <c r="K147" s="38" t="s">
        <v>2018</v>
      </c>
      <c r="L147" s="38" t="s">
        <v>2017</v>
      </c>
      <c r="M147" s="38" t="s">
        <v>2018</v>
      </c>
      <c r="N147" s="38" t="s">
        <v>2018</v>
      </c>
      <c r="O147" s="38" t="s">
        <v>2015</v>
      </c>
      <c r="P147" s="39">
        <v>217</v>
      </c>
      <c r="Q147" s="39">
        <v>126</v>
      </c>
      <c r="R147" s="39">
        <v>24</v>
      </c>
      <c r="S147" s="39">
        <v>13</v>
      </c>
      <c r="T147" s="39">
        <v>6</v>
      </c>
      <c r="U147" s="39">
        <v>20</v>
      </c>
      <c r="V147" s="39">
        <v>15</v>
      </c>
      <c r="W147" s="39">
        <v>8</v>
      </c>
      <c r="X147" s="39">
        <v>44</v>
      </c>
      <c r="Y147" s="39">
        <v>28</v>
      </c>
      <c r="Z147" s="39">
        <v>14</v>
      </c>
      <c r="AA147" s="39">
        <v>62</v>
      </c>
      <c r="AB147" s="39">
        <v>34</v>
      </c>
      <c r="AC147" s="39">
        <v>16</v>
      </c>
      <c r="AD147" s="39">
        <v>22</v>
      </c>
      <c r="AE147" s="39">
        <v>17</v>
      </c>
      <c r="AF147" s="39">
        <v>9</v>
      </c>
      <c r="AG147" s="39">
        <v>84</v>
      </c>
      <c r="AH147" s="39">
        <v>51</v>
      </c>
      <c r="AI147" s="39">
        <v>25</v>
      </c>
      <c r="AJ147" s="39">
        <v>84</v>
      </c>
      <c r="AK147" s="39">
        <v>199</v>
      </c>
      <c r="AL147" s="39">
        <v>42.2</v>
      </c>
      <c r="AM147" s="36"/>
    </row>
    <row r="148" spans="1:39" s="37" customFormat="1" ht="13.5" customHeight="1">
      <c r="A148" s="30" t="s">
        <v>2272</v>
      </c>
      <c r="B148" s="30" t="s">
        <v>2273</v>
      </c>
      <c r="C148" s="30" t="s">
        <v>235</v>
      </c>
      <c r="D148" s="30" t="s">
        <v>2012</v>
      </c>
      <c r="E148" s="30" t="s">
        <v>2020</v>
      </c>
      <c r="F148" s="38" t="s">
        <v>2021</v>
      </c>
      <c r="G148" s="38"/>
      <c r="H148" s="38" t="s">
        <v>2293</v>
      </c>
      <c r="I148" s="38" t="s">
        <v>2015</v>
      </c>
      <c r="J148" s="38" t="s">
        <v>2015</v>
      </c>
      <c r="K148" s="38" t="s">
        <v>2018</v>
      </c>
      <c r="L148" s="38" t="s">
        <v>2017</v>
      </c>
      <c r="M148" s="38" t="s">
        <v>2018</v>
      </c>
      <c r="N148" s="38" t="s">
        <v>2018</v>
      </c>
      <c r="O148" s="38" t="s">
        <v>2015</v>
      </c>
      <c r="P148" s="39">
        <v>454</v>
      </c>
      <c r="Q148" s="39">
        <v>207</v>
      </c>
      <c r="R148" s="39">
        <v>55</v>
      </c>
      <c r="S148" s="39">
        <v>20</v>
      </c>
      <c r="T148" s="39">
        <v>11</v>
      </c>
      <c r="U148" s="39">
        <v>25</v>
      </c>
      <c r="V148" s="39">
        <v>20</v>
      </c>
      <c r="W148" s="39">
        <v>12</v>
      </c>
      <c r="X148" s="39">
        <v>80</v>
      </c>
      <c r="Y148" s="39">
        <v>40</v>
      </c>
      <c r="Z148" s="39">
        <v>23</v>
      </c>
      <c r="AA148" s="39">
        <v>165</v>
      </c>
      <c r="AB148" s="39">
        <v>60</v>
      </c>
      <c r="AC148" s="39">
        <v>33</v>
      </c>
      <c r="AD148" s="39">
        <v>33</v>
      </c>
      <c r="AE148" s="39">
        <v>26</v>
      </c>
      <c r="AF148" s="39">
        <v>16</v>
      </c>
      <c r="AG148" s="39">
        <v>198</v>
      </c>
      <c r="AH148" s="39">
        <v>86</v>
      </c>
      <c r="AI148" s="39">
        <v>49</v>
      </c>
      <c r="AJ148" s="39">
        <v>198</v>
      </c>
      <c r="AK148" s="39">
        <v>433</v>
      </c>
      <c r="AL148" s="39">
        <v>45.7</v>
      </c>
      <c r="AM148" s="36"/>
    </row>
    <row r="149" spans="1:39" s="37" customFormat="1" ht="13.5" customHeight="1">
      <c r="A149" s="30" t="s">
        <v>2272</v>
      </c>
      <c r="B149" s="30" t="s">
        <v>2273</v>
      </c>
      <c r="C149" s="30" t="s">
        <v>235</v>
      </c>
      <c r="D149" s="30" t="s">
        <v>2012</v>
      </c>
      <c r="E149" s="30" t="s">
        <v>2020</v>
      </c>
      <c r="F149" s="38" t="s">
        <v>2021</v>
      </c>
      <c r="G149" s="38"/>
      <c r="H149" s="38" t="s">
        <v>2294</v>
      </c>
      <c r="I149" s="38" t="s">
        <v>2015</v>
      </c>
      <c r="J149" s="38" t="s">
        <v>2015</v>
      </c>
      <c r="K149" s="38" t="s">
        <v>2018</v>
      </c>
      <c r="L149" s="38" t="s">
        <v>2017</v>
      </c>
      <c r="M149" s="38" t="s">
        <v>2018</v>
      </c>
      <c r="N149" s="38" t="s">
        <v>2018</v>
      </c>
      <c r="O149" s="38" t="s">
        <v>2015</v>
      </c>
      <c r="P149" s="39">
        <v>326</v>
      </c>
      <c r="Q149" s="39">
        <v>160</v>
      </c>
      <c r="R149" s="39">
        <v>59</v>
      </c>
      <c r="S149" s="39">
        <v>37</v>
      </c>
      <c r="T149" s="39">
        <v>18</v>
      </c>
      <c r="U149" s="39">
        <v>32</v>
      </c>
      <c r="V149" s="39">
        <v>25</v>
      </c>
      <c r="W149" s="39">
        <v>19</v>
      </c>
      <c r="X149" s="39">
        <v>91</v>
      </c>
      <c r="Y149" s="39">
        <v>62</v>
      </c>
      <c r="Z149" s="39">
        <v>37</v>
      </c>
      <c r="AA149" s="39">
        <v>148</v>
      </c>
      <c r="AB149" s="39">
        <v>93</v>
      </c>
      <c r="AC149" s="39">
        <v>45</v>
      </c>
      <c r="AD149" s="39">
        <v>38</v>
      </c>
      <c r="AE149" s="39">
        <v>30</v>
      </c>
      <c r="AF149" s="39">
        <v>23</v>
      </c>
      <c r="AG149" s="39">
        <v>186</v>
      </c>
      <c r="AH149" s="39">
        <v>123</v>
      </c>
      <c r="AI149" s="39">
        <v>68</v>
      </c>
      <c r="AJ149" s="39">
        <v>186</v>
      </c>
      <c r="AK149" s="39">
        <v>293</v>
      </c>
      <c r="AL149" s="39">
        <v>63.5</v>
      </c>
      <c r="AM149" s="36"/>
    </row>
    <row r="150" spans="1:39" s="37" customFormat="1" ht="13.5" customHeight="1">
      <c r="A150" s="30" t="s">
        <v>2272</v>
      </c>
      <c r="B150" s="30" t="s">
        <v>2273</v>
      </c>
      <c r="C150" s="30" t="s">
        <v>235</v>
      </c>
      <c r="D150" s="30" t="s">
        <v>2012</v>
      </c>
      <c r="E150" s="30" t="s">
        <v>2020</v>
      </c>
      <c r="F150" s="38" t="s">
        <v>2021</v>
      </c>
      <c r="G150" s="38"/>
      <c r="H150" s="38" t="s">
        <v>2295</v>
      </c>
      <c r="I150" s="38" t="s">
        <v>2015</v>
      </c>
      <c r="J150" s="38" t="s">
        <v>2015</v>
      </c>
      <c r="K150" s="38" t="s">
        <v>2018</v>
      </c>
      <c r="L150" s="38" t="s">
        <v>2017</v>
      </c>
      <c r="M150" s="38" t="s">
        <v>2018</v>
      </c>
      <c r="N150" s="38" t="s">
        <v>2018</v>
      </c>
      <c r="O150" s="38" t="s">
        <v>2015</v>
      </c>
      <c r="P150" s="39">
        <v>95</v>
      </c>
      <c r="Q150" s="39">
        <v>347</v>
      </c>
      <c r="R150" s="39">
        <v>19</v>
      </c>
      <c r="S150" s="39">
        <v>12</v>
      </c>
      <c r="T150" s="39">
        <v>4</v>
      </c>
      <c r="U150" s="39">
        <v>9</v>
      </c>
      <c r="V150" s="39">
        <v>8</v>
      </c>
      <c r="W150" s="39">
        <v>7</v>
      </c>
      <c r="X150" s="39">
        <v>28</v>
      </c>
      <c r="Y150" s="39">
        <v>20</v>
      </c>
      <c r="Z150" s="39">
        <v>11</v>
      </c>
      <c r="AA150" s="39">
        <v>49</v>
      </c>
      <c r="AB150" s="39">
        <v>31</v>
      </c>
      <c r="AC150" s="39">
        <v>10</v>
      </c>
      <c r="AD150" s="39">
        <v>11</v>
      </c>
      <c r="AE150" s="39">
        <v>10</v>
      </c>
      <c r="AF150" s="39">
        <v>8</v>
      </c>
      <c r="AG150" s="39">
        <v>60</v>
      </c>
      <c r="AH150" s="39">
        <v>41</v>
      </c>
      <c r="AI150" s="39">
        <v>18</v>
      </c>
      <c r="AJ150" s="39">
        <v>60</v>
      </c>
      <c r="AK150" s="39">
        <v>101</v>
      </c>
      <c r="AL150" s="39">
        <v>59.4</v>
      </c>
      <c r="AM150" s="36"/>
    </row>
    <row r="151" spans="1:39" s="37" customFormat="1" ht="13.5" customHeight="1">
      <c r="A151" s="30" t="s">
        <v>2272</v>
      </c>
      <c r="B151" s="30" t="s">
        <v>2273</v>
      </c>
      <c r="C151" s="30" t="s">
        <v>235</v>
      </c>
      <c r="D151" s="30" t="s">
        <v>2012</v>
      </c>
      <c r="E151" s="30" t="s">
        <v>2020</v>
      </c>
      <c r="F151" s="38" t="s">
        <v>2021</v>
      </c>
      <c r="G151" s="38"/>
      <c r="H151" s="38" t="s">
        <v>2296</v>
      </c>
      <c r="I151" s="38" t="s">
        <v>2015</v>
      </c>
      <c r="J151" s="38" t="s">
        <v>2015</v>
      </c>
      <c r="K151" s="38" t="s">
        <v>2018</v>
      </c>
      <c r="L151" s="38" t="s">
        <v>2017</v>
      </c>
      <c r="M151" s="38" t="s">
        <v>2018</v>
      </c>
      <c r="N151" s="38" t="s">
        <v>2018</v>
      </c>
      <c r="O151" s="38" t="s">
        <v>2015</v>
      </c>
      <c r="P151" s="39">
        <v>465</v>
      </c>
      <c r="Q151" s="39">
        <v>189</v>
      </c>
      <c r="R151" s="39">
        <v>55</v>
      </c>
      <c r="S151" s="39">
        <v>27</v>
      </c>
      <c r="T151" s="39">
        <v>7</v>
      </c>
      <c r="U151" s="39">
        <v>19</v>
      </c>
      <c r="V151" s="39">
        <v>13</v>
      </c>
      <c r="W151" s="39">
        <v>12</v>
      </c>
      <c r="X151" s="39">
        <v>74</v>
      </c>
      <c r="Y151" s="39">
        <v>40</v>
      </c>
      <c r="Z151" s="39">
        <v>19</v>
      </c>
      <c r="AA151" s="39">
        <v>171</v>
      </c>
      <c r="AB151" s="39">
        <v>84</v>
      </c>
      <c r="AC151" s="39">
        <v>22</v>
      </c>
      <c r="AD151" s="39">
        <v>23</v>
      </c>
      <c r="AE151" s="39">
        <v>16</v>
      </c>
      <c r="AF151" s="39">
        <v>14</v>
      </c>
      <c r="AG151" s="39">
        <v>194</v>
      </c>
      <c r="AH151" s="39">
        <v>100</v>
      </c>
      <c r="AI151" s="39">
        <v>36</v>
      </c>
      <c r="AJ151" s="39">
        <v>194</v>
      </c>
      <c r="AK151" s="39">
        <v>471</v>
      </c>
      <c r="AL151" s="39">
        <v>41.2</v>
      </c>
      <c r="AM151" s="36"/>
    </row>
    <row r="152" spans="1:39" s="37" customFormat="1" ht="13.5" customHeight="1">
      <c r="A152" s="30" t="s">
        <v>2272</v>
      </c>
      <c r="B152" s="30" t="s">
        <v>2273</v>
      </c>
      <c r="C152" s="30" t="s">
        <v>235</v>
      </c>
      <c r="D152" s="30" t="s">
        <v>2012</v>
      </c>
      <c r="E152" s="30" t="s">
        <v>2020</v>
      </c>
      <c r="F152" s="38" t="s">
        <v>2021</v>
      </c>
      <c r="G152" s="38"/>
      <c r="H152" s="38" t="s">
        <v>2297</v>
      </c>
      <c r="I152" s="38" t="s">
        <v>2015</v>
      </c>
      <c r="J152" s="38" t="s">
        <v>2015</v>
      </c>
      <c r="K152" s="38" t="s">
        <v>2018</v>
      </c>
      <c r="L152" s="38" t="s">
        <v>2017</v>
      </c>
      <c r="M152" s="38" t="s">
        <v>2018</v>
      </c>
      <c r="N152" s="38" t="s">
        <v>2018</v>
      </c>
      <c r="O152" s="38" t="s">
        <v>2015</v>
      </c>
      <c r="P152" s="39">
        <v>424</v>
      </c>
      <c r="Q152" s="39">
        <v>193</v>
      </c>
      <c r="R152" s="39">
        <v>71</v>
      </c>
      <c r="S152" s="39">
        <v>41</v>
      </c>
      <c r="T152" s="39">
        <v>12</v>
      </c>
      <c r="U152" s="39">
        <v>27</v>
      </c>
      <c r="V152" s="39">
        <v>16</v>
      </c>
      <c r="W152" s="39">
        <v>10</v>
      </c>
      <c r="X152" s="39">
        <v>98</v>
      </c>
      <c r="Y152" s="39">
        <v>57</v>
      </c>
      <c r="Z152" s="39">
        <v>22</v>
      </c>
      <c r="AA152" s="39">
        <v>227</v>
      </c>
      <c r="AB152" s="39">
        <v>131</v>
      </c>
      <c r="AC152" s="39">
        <v>38</v>
      </c>
      <c r="AD152" s="39">
        <v>35</v>
      </c>
      <c r="AE152" s="39">
        <v>21</v>
      </c>
      <c r="AF152" s="39">
        <v>13</v>
      </c>
      <c r="AG152" s="39">
        <v>262</v>
      </c>
      <c r="AH152" s="39">
        <v>152</v>
      </c>
      <c r="AI152" s="39">
        <v>51</v>
      </c>
      <c r="AJ152" s="39">
        <v>262</v>
      </c>
      <c r="AK152" s="39">
        <v>423</v>
      </c>
      <c r="AL152" s="39">
        <v>61.9</v>
      </c>
      <c r="AM152" s="36"/>
    </row>
    <row r="153" spans="1:39" s="37" customFormat="1" ht="13.5" customHeight="1">
      <c r="A153" s="30" t="s">
        <v>2272</v>
      </c>
      <c r="B153" s="30" t="s">
        <v>2273</v>
      </c>
      <c r="C153" s="30" t="s">
        <v>235</v>
      </c>
      <c r="D153" s="30" t="s">
        <v>2012</v>
      </c>
      <c r="E153" s="30" t="s">
        <v>2020</v>
      </c>
      <c r="F153" s="38" t="s">
        <v>2021</v>
      </c>
      <c r="G153" s="38"/>
      <c r="H153" s="38" t="s">
        <v>2298</v>
      </c>
      <c r="I153" s="38" t="s">
        <v>2015</v>
      </c>
      <c r="J153" s="38" t="s">
        <v>2015</v>
      </c>
      <c r="K153" s="38" t="s">
        <v>2018</v>
      </c>
      <c r="L153" s="38" t="s">
        <v>2017</v>
      </c>
      <c r="M153" s="38" t="s">
        <v>2018</v>
      </c>
      <c r="N153" s="38" t="s">
        <v>2018</v>
      </c>
      <c r="O153" s="38" t="s">
        <v>2015</v>
      </c>
      <c r="P153" s="39">
        <v>285</v>
      </c>
      <c r="Q153" s="39">
        <v>134</v>
      </c>
      <c r="R153" s="39">
        <v>45</v>
      </c>
      <c r="S153" s="39">
        <v>19</v>
      </c>
      <c r="T153" s="39">
        <v>5</v>
      </c>
      <c r="U153" s="39">
        <v>19</v>
      </c>
      <c r="V153" s="39">
        <v>8</v>
      </c>
      <c r="W153" s="39">
        <v>3</v>
      </c>
      <c r="X153" s="39">
        <v>64</v>
      </c>
      <c r="Y153" s="39">
        <v>27</v>
      </c>
      <c r="Z153" s="39">
        <v>8</v>
      </c>
      <c r="AA153" s="39">
        <v>131</v>
      </c>
      <c r="AB153" s="39">
        <v>55</v>
      </c>
      <c r="AC153" s="39">
        <v>15</v>
      </c>
      <c r="AD153" s="39">
        <v>25</v>
      </c>
      <c r="AE153" s="39">
        <v>10</v>
      </c>
      <c r="AF153" s="39">
        <v>4</v>
      </c>
      <c r="AG153" s="39">
        <v>156</v>
      </c>
      <c r="AH153" s="39">
        <v>65</v>
      </c>
      <c r="AI153" s="39">
        <v>19</v>
      </c>
      <c r="AJ153" s="39">
        <v>156</v>
      </c>
      <c r="AK153" s="39">
        <v>280</v>
      </c>
      <c r="AL153" s="39">
        <v>55.7</v>
      </c>
      <c r="AM153" s="36"/>
    </row>
    <row r="154" spans="1:39" s="37" customFormat="1" ht="13.5" customHeight="1">
      <c r="A154" s="30" t="s">
        <v>2272</v>
      </c>
      <c r="B154" s="30" t="s">
        <v>2273</v>
      </c>
      <c r="C154" s="30" t="s">
        <v>235</v>
      </c>
      <c r="D154" s="30" t="s">
        <v>2012</v>
      </c>
      <c r="E154" s="30" t="s">
        <v>2020</v>
      </c>
      <c r="F154" s="38" t="s">
        <v>2021</v>
      </c>
      <c r="G154" s="38"/>
      <c r="H154" s="38" t="s">
        <v>2299</v>
      </c>
      <c r="I154" s="38" t="s">
        <v>2015</v>
      </c>
      <c r="J154" s="38" t="s">
        <v>2015</v>
      </c>
      <c r="K154" s="38" t="s">
        <v>2018</v>
      </c>
      <c r="L154" s="38" t="s">
        <v>2017</v>
      </c>
      <c r="M154" s="38" t="s">
        <v>2018</v>
      </c>
      <c r="N154" s="38" t="s">
        <v>2018</v>
      </c>
      <c r="O154" s="38" t="s">
        <v>2015</v>
      </c>
      <c r="P154" s="39">
        <v>117</v>
      </c>
      <c r="Q154" s="39">
        <v>51</v>
      </c>
      <c r="R154" s="39">
        <v>19</v>
      </c>
      <c r="S154" s="39">
        <v>10</v>
      </c>
      <c r="T154" s="39">
        <v>6</v>
      </c>
      <c r="U154" s="39">
        <v>4</v>
      </c>
      <c r="V154" s="39">
        <v>4</v>
      </c>
      <c r="W154" s="39">
        <v>2</v>
      </c>
      <c r="X154" s="39">
        <v>23</v>
      </c>
      <c r="Y154" s="39">
        <v>14</v>
      </c>
      <c r="Z154" s="39">
        <v>8</v>
      </c>
      <c r="AA154" s="39">
        <v>67</v>
      </c>
      <c r="AB154" s="39">
        <v>35</v>
      </c>
      <c r="AC154" s="39">
        <v>21</v>
      </c>
      <c r="AD154" s="39">
        <v>5</v>
      </c>
      <c r="AE154" s="39">
        <v>5</v>
      </c>
      <c r="AF154" s="39">
        <v>3</v>
      </c>
      <c r="AG154" s="39">
        <v>72</v>
      </c>
      <c r="AH154" s="39">
        <v>40</v>
      </c>
      <c r="AI154" s="39">
        <v>24</v>
      </c>
      <c r="AJ154" s="39">
        <v>72</v>
      </c>
      <c r="AK154" s="39">
        <v>121</v>
      </c>
      <c r="AL154" s="39">
        <v>59.5</v>
      </c>
      <c r="AM154" s="36"/>
    </row>
    <row r="155" spans="1:39" s="37" customFormat="1" ht="13.5" customHeight="1">
      <c r="A155" s="30" t="s">
        <v>2272</v>
      </c>
      <c r="B155" s="30" t="s">
        <v>2273</v>
      </c>
      <c r="C155" s="30" t="s">
        <v>235</v>
      </c>
      <c r="D155" s="30" t="s">
        <v>2012</v>
      </c>
      <c r="E155" s="30" t="s">
        <v>2020</v>
      </c>
      <c r="F155" s="38" t="s">
        <v>2021</v>
      </c>
      <c r="G155" s="38"/>
      <c r="H155" s="38" t="s">
        <v>2300</v>
      </c>
      <c r="I155" s="38" t="s">
        <v>2015</v>
      </c>
      <c r="J155" s="38" t="s">
        <v>2015</v>
      </c>
      <c r="K155" s="38" t="s">
        <v>2018</v>
      </c>
      <c r="L155" s="38" t="s">
        <v>2017</v>
      </c>
      <c r="M155" s="38" t="s">
        <v>2018</v>
      </c>
      <c r="N155" s="38" t="s">
        <v>2018</v>
      </c>
      <c r="O155" s="38" t="s">
        <v>2015</v>
      </c>
      <c r="P155" s="39">
        <v>199</v>
      </c>
      <c r="Q155" s="39">
        <v>116</v>
      </c>
      <c r="R155" s="39">
        <v>21</v>
      </c>
      <c r="S155" s="39">
        <v>13</v>
      </c>
      <c r="T155" s="39">
        <v>2</v>
      </c>
      <c r="U155" s="39">
        <v>2</v>
      </c>
      <c r="V155" s="39">
        <v>1</v>
      </c>
      <c r="W155" s="39">
        <v>0</v>
      </c>
      <c r="X155" s="39">
        <v>23</v>
      </c>
      <c r="Y155" s="39">
        <v>14</v>
      </c>
      <c r="Z155" s="39">
        <v>2</v>
      </c>
      <c r="AA155" s="39">
        <v>59</v>
      </c>
      <c r="AB155" s="39">
        <v>36</v>
      </c>
      <c r="AC155" s="39">
        <v>6</v>
      </c>
      <c r="AD155" s="39">
        <v>3</v>
      </c>
      <c r="AE155" s="39">
        <v>1</v>
      </c>
      <c r="AF155" s="39">
        <v>0</v>
      </c>
      <c r="AG155" s="39">
        <v>62</v>
      </c>
      <c r="AH155" s="39">
        <v>37</v>
      </c>
      <c r="AI155" s="39">
        <v>6</v>
      </c>
      <c r="AJ155" s="39">
        <v>62</v>
      </c>
      <c r="AK155" s="39">
        <v>199</v>
      </c>
      <c r="AL155" s="39">
        <v>31.2</v>
      </c>
      <c r="AM155" s="36"/>
    </row>
    <row r="156" spans="1:39" s="37" customFormat="1" ht="13.5" customHeight="1">
      <c r="A156" s="30" t="s">
        <v>2272</v>
      </c>
      <c r="B156" s="30" t="s">
        <v>2273</v>
      </c>
      <c r="C156" s="30" t="s">
        <v>235</v>
      </c>
      <c r="D156" s="30" t="s">
        <v>2012</v>
      </c>
      <c r="E156" s="30" t="s">
        <v>2020</v>
      </c>
      <c r="F156" s="38" t="s">
        <v>2021</v>
      </c>
      <c r="G156" s="38"/>
      <c r="H156" s="38" t="s">
        <v>2301</v>
      </c>
      <c r="I156" s="38" t="s">
        <v>2015</v>
      </c>
      <c r="J156" s="38" t="s">
        <v>2015</v>
      </c>
      <c r="K156" s="38" t="s">
        <v>2018</v>
      </c>
      <c r="L156" s="38" t="s">
        <v>2017</v>
      </c>
      <c r="M156" s="38" t="s">
        <v>2018</v>
      </c>
      <c r="N156" s="38" t="s">
        <v>2018</v>
      </c>
      <c r="O156" s="38" t="s">
        <v>2015</v>
      </c>
      <c r="P156" s="39">
        <v>815</v>
      </c>
      <c r="Q156" s="39">
        <v>599</v>
      </c>
      <c r="R156" s="39">
        <v>90</v>
      </c>
      <c r="S156" s="39">
        <v>52</v>
      </c>
      <c r="T156" s="39">
        <v>24</v>
      </c>
      <c r="U156" s="39">
        <v>110</v>
      </c>
      <c r="V156" s="39">
        <v>95</v>
      </c>
      <c r="W156" s="39">
        <v>75</v>
      </c>
      <c r="X156" s="39">
        <v>200</v>
      </c>
      <c r="Y156" s="39">
        <v>147</v>
      </c>
      <c r="Z156" s="39">
        <v>99</v>
      </c>
      <c r="AA156" s="39">
        <v>252</v>
      </c>
      <c r="AB156" s="39">
        <v>146</v>
      </c>
      <c r="AC156" s="39">
        <v>67</v>
      </c>
      <c r="AD156" s="39">
        <v>132</v>
      </c>
      <c r="AE156" s="39">
        <v>114</v>
      </c>
      <c r="AF156" s="39">
        <v>90</v>
      </c>
      <c r="AG156" s="39">
        <v>384</v>
      </c>
      <c r="AH156" s="39">
        <v>260</v>
      </c>
      <c r="AI156" s="39">
        <v>157</v>
      </c>
      <c r="AJ156" s="39">
        <v>384</v>
      </c>
      <c r="AK156" s="39">
        <v>725</v>
      </c>
      <c r="AL156" s="39">
        <v>53</v>
      </c>
      <c r="AM156" s="36"/>
    </row>
    <row r="157" spans="1:39" s="37" customFormat="1" ht="13.5" customHeight="1">
      <c r="A157" s="30" t="s">
        <v>2272</v>
      </c>
      <c r="B157" s="30" t="s">
        <v>2273</v>
      </c>
      <c r="C157" s="30" t="s">
        <v>235</v>
      </c>
      <c r="D157" s="30" t="s">
        <v>2012</v>
      </c>
      <c r="E157" s="30" t="s">
        <v>2020</v>
      </c>
      <c r="F157" s="38" t="s">
        <v>2021</v>
      </c>
      <c r="G157" s="38"/>
      <c r="H157" s="38" t="s">
        <v>2302</v>
      </c>
      <c r="I157" s="38" t="s">
        <v>2015</v>
      </c>
      <c r="J157" s="38" t="s">
        <v>2015</v>
      </c>
      <c r="K157" s="38" t="s">
        <v>2018</v>
      </c>
      <c r="L157" s="38" t="s">
        <v>2017</v>
      </c>
      <c r="M157" s="38" t="s">
        <v>2018</v>
      </c>
      <c r="N157" s="38" t="s">
        <v>2018</v>
      </c>
      <c r="O157" s="38" t="s">
        <v>2015</v>
      </c>
      <c r="P157" s="39">
        <v>1249</v>
      </c>
      <c r="Q157" s="39">
        <v>566</v>
      </c>
      <c r="R157" s="39">
        <v>139</v>
      </c>
      <c r="S157" s="39">
        <v>65</v>
      </c>
      <c r="T157" s="39">
        <v>24</v>
      </c>
      <c r="U157" s="39">
        <v>114</v>
      </c>
      <c r="V157" s="39">
        <v>90</v>
      </c>
      <c r="W157" s="39">
        <v>56</v>
      </c>
      <c r="X157" s="39">
        <v>253</v>
      </c>
      <c r="Y157" s="39">
        <v>155</v>
      </c>
      <c r="Z157" s="39">
        <v>80</v>
      </c>
      <c r="AA157" s="39">
        <v>417</v>
      </c>
      <c r="AB157" s="39">
        <v>195</v>
      </c>
      <c r="AC157" s="39">
        <v>72</v>
      </c>
      <c r="AD157" s="39">
        <v>125</v>
      </c>
      <c r="AE157" s="39">
        <v>99</v>
      </c>
      <c r="AF157" s="39">
        <v>62</v>
      </c>
      <c r="AG157" s="39">
        <v>542</v>
      </c>
      <c r="AH157" s="39">
        <v>294</v>
      </c>
      <c r="AI157" s="39">
        <v>134</v>
      </c>
      <c r="AJ157" s="39">
        <v>542</v>
      </c>
      <c r="AK157" s="39">
        <v>1249</v>
      </c>
      <c r="AL157" s="39">
        <v>43.4</v>
      </c>
      <c r="AM157" s="36"/>
    </row>
    <row r="158" spans="1:39" s="37" customFormat="1" ht="13.5" customHeight="1">
      <c r="A158" s="30" t="s">
        <v>2272</v>
      </c>
      <c r="B158" s="30" t="s">
        <v>2273</v>
      </c>
      <c r="C158" s="30" t="s">
        <v>235</v>
      </c>
      <c r="D158" s="30" t="s">
        <v>2012</v>
      </c>
      <c r="E158" s="30" t="s">
        <v>2020</v>
      </c>
      <c r="F158" s="38" t="s">
        <v>2021</v>
      </c>
      <c r="G158" s="38"/>
      <c r="H158" s="38" t="s">
        <v>2303</v>
      </c>
      <c r="I158" s="38" t="s">
        <v>2015</v>
      </c>
      <c r="J158" s="38" t="s">
        <v>2015</v>
      </c>
      <c r="K158" s="38" t="s">
        <v>2018</v>
      </c>
      <c r="L158" s="38" t="s">
        <v>2017</v>
      </c>
      <c r="M158" s="38" t="s">
        <v>2018</v>
      </c>
      <c r="N158" s="38" t="s">
        <v>2018</v>
      </c>
      <c r="O158" s="38" t="s">
        <v>2015</v>
      </c>
      <c r="P158" s="39">
        <v>3579</v>
      </c>
      <c r="Q158" s="39">
        <v>1654</v>
      </c>
      <c r="R158" s="39">
        <v>468</v>
      </c>
      <c r="S158" s="39">
        <v>226</v>
      </c>
      <c r="T158" s="39">
        <v>87</v>
      </c>
      <c r="U158" s="39">
        <v>374</v>
      </c>
      <c r="V158" s="39">
        <v>301</v>
      </c>
      <c r="W158" s="39">
        <v>209</v>
      </c>
      <c r="X158" s="39">
        <v>842</v>
      </c>
      <c r="Y158" s="39">
        <v>527</v>
      </c>
      <c r="Z158" s="39">
        <v>296</v>
      </c>
      <c r="AA158" s="39">
        <v>1367</v>
      </c>
      <c r="AB158" s="39">
        <v>657</v>
      </c>
      <c r="AC158" s="39">
        <v>249</v>
      </c>
      <c r="AD158" s="39">
        <v>418</v>
      </c>
      <c r="AE158" s="39">
        <v>335</v>
      </c>
      <c r="AF158" s="39">
        <v>230</v>
      </c>
      <c r="AG158" s="39">
        <v>1785</v>
      </c>
      <c r="AH158" s="39">
        <v>992</v>
      </c>
      <c r="AI158" s="39">
        <v>479</v>
      </c>
      <c r="AJ158" s="39">
        <v>1785</v>
      </c>
      <c r="AK158" s="39">
        <v>3571</v>
      </c>
      <c r="AL158" s="39">
        <v>50</v>
      </c>
      <c r="AM158" s="36"/>
    </row>
    <row r="159" spans="1:39" s="37" customFormat="1" ht="13.5" customHeight="1">
      <c r="A159" s="30" t="s">
        <v>2272</v>
      </c>
      <c r="B159" s="30" t="s">
        <v>2273</v>
      </c>
      <c r="C159" s="30" t="s">
        <v>235</v>
      </c>
      <c r="D159" s="30" t="s">
        <v>2012</v>
      </c>
      <c r="E159" s="30" t="s">
        <v>2020</v>
      </c>
      <c r="F159" s="38" t="s">
        <v>2021</v>
      </c>
      <c r="G159" s="38"/>
      <c r="H159" s="38" t="s">
        <v>2304</v>
      </c>
      <c r="I159" s="38" t="s">
        <v>2015</v>
      </c>
      <c r="J159" s="38" t="s">
        <v>2015</v>
      </c>
      <c r="K159" s="38" t="s">
        <v>2018</v>
      </c>
      <c r="L159" s="38" t="s">
        <v>2017</v>
      </c>
      <c r="M159" s="38" t="s">
        <v>2018</v>
      </c>
      <c r="N159" s="38" t="s">
        <v>2018</v>
      </c>
      <c r="O159" s="38" t="s">
        <v>2015</v>
      </c>
      <c r="P159" s="39">
        <v>4233</v>
      </c>
      <c r="Q159" s="39">
        <v>1824</v>
      </c>
      <c r="R159" s="39">
        <v>379</v>
      </c>
      <c r="S159" s="39">
        <v>188</v>
      </c>
      <c r="T159" s="39">
        <v>97</v>
      </c>
      <c r="U159" s="39">
        <v>490</v>
      </c>
      <c r="V159" s="39">
        <v>361</v>
      </c>
      <c r="W159" s="39">
        <v>221</v>
      </c>
      <c r="X159" s="39">
        <v>869</v>
      </c>
      <c r="Y159" s="39">
        <v>549</v>
      </c>
      <c r="Z159" s="39">
        <v>318</v>
      </c>
      <c r="AA159" s="39">
        <v>1160</v>
      </c>
      <c r="AB159" s="39">
        <v>574</v>
      </c>
      <c r="AC159" s="39">
        <v>298</v>
      </c>
      <c r="AD159" s="39">
        <v>587</v>
      </c>
      <c r="AE159" s="39">
        <v>433</v>
      </c>
      <c r="AF159" s="39">
        <v>265</v>
      </c>
      <c r="AG159" s="39">
        <v>1747</v>
      </c>
      <c r="AH159" s="39">
        <v>1007</v>
      </c>
      <c r="AI159" s="39">
        <v>563</v>
      </c>
      <c r="AJ159" s="39">
        <v>1747</v>
      </c>
      <c r="AK159" s="39">
        <v>4068</v>
      </c>
      <c r="AL159" s="39">
        <v>42.9</v>
      </c>
      <c r="AM159" s="36"/>
    </row>
    <row r="160" spans="1:39" s="37" customFormat="1" ht="13.5" customHeight="1">
      <c r="A160" s="30" t="s">
        <v>2272</v>
      </c>
      <c r="B160" s="30" t="s">
        <v>2273</v>
      </c>
      <c r="C160" s="30" t="s">
        <v>235</v>
      </c>
      <c r="D160" s="30" t="s">
        <v>2012</v>
      </c>
      <c r="E160" s="30" t="s">
        <v>2020</v>
      </c>
      <c r="F160" s="38" t="s">
        <v>2021</v>
      </c>
      <c r="G160" s="38"/>
      <c r="H160" s="38" t="s">
        <v>2305</v>
      </c>
      <c r="I160" s="38" t="s">
        <v>2015</v>
      </c>
      <c r="J160" s="38" t="s">
        <v>2015</v>
      </c>
      <c r="K160" s="38" t="s">
        <v>2018</v>
      </c>
      <c r="L160" s="38" t="s">
        <v>2017</v>
      </c>
      <c r="M160" s="38" t="s">
        <v>2018</v>
      </c>
      <c r="N160" s="38" t="s">
        <v>2018</v>
      </c>
      <c r="O160" s="38" t="s">
        <v>2015</v>
      </c>
      <c r="P160" s="39">
        <v>1225</v>
      </c>
      <c r="Q160" s="39">
        <v>512</v>
      </c>
      <c r="R160" s="39">
        <v>130</v>
      </c>
      <c r="S160" s="39">
        <v>65</v>
      </c>
      <c r="T160" s="39">
        <v>25</v>
      </c>
      <c r="U160" s="39">
        <v>92</v>
      </c>
      <c r="V160" s="39">
        <v>68</v>
      </c>
      <c r="W160" s="39">
        <v>32</v>
      </c>
      <c r="X160" s="39">
        <v>222</v>
      </c>
      <c r="Y160" s="39">
        <v>133</v>
      </c>
      <c r="Z160" s="39">
        <v>57</v>
      </c>
      <c r="AA160" s="39">
        <v>387</v>
      </c>
      <c r="AB160" s="39">
        <v>193</v>
      </c>
      <c r="AC160" s="39">
        <v>74</v>
      </c>
      <c r="AD160" s="39">
        <v>100</v>
      </c>
      <c r="AE160" s="39">
        <v>74</v>
      </c>
      <c r="AF160" s="39">
        <v>35</v>
      </c>
      <c r="AG160" s="39">
        <v>487</v>
      </c>
      <c r="AH160" s="39">
        <v>267</v>
      </c>
      <c r="AI160" s="39">
        <v>109</v>
      </c>
      <c r="AJ160" s="39">
        <v>487</v>
      </c>
      <c r="AK160" s="39">
        <v>1181</v>
      </c>
      <c r="AL160" s="39">
        <v>41.2</v>
      </c>
      <c r="AM160" s="36"/>
    </row>
    <row r="161" spans="1:39" s="37" customFormat="1" ht="13.5" customHeight="1">
      <c r="A161" s="30" t="s">
        <v>2272</v>
      </c>
      <c r="B161" s="30" t="s">
        <v>2273</v>
      </c>
      <c r="C161" s="30" t="s">
        <v>235</v>
      </c>
      <c r="D161" s="30" t="s">
        <v>2012</v>
      </c>
      <c r="E161" s="30" t="s">
        <v>2020</v>
      </c>
      <c r="F161" s="38" t="s">
        <v>2021</v>
      </c>
      <c r="G161" s="38"/>
      <c r="H161" s="38" t="s">
        <v>2306</v>
      </c>
      <c r="I161" s="38" t="s">
        <v>2015</v>
      </c>
      <c r="J161" s="38" t="s">
        <v>2015</v>
      </c>
      <c r="K161" s="38" t="s">
        <v>2018</v>
      </c>
      <c r="L161" s="38" t="s">
        <v>2017</v>
      </c>
      <c r="M161" s="38" t="s">
        <v>2018</v>
      </c>
      <c r="N161" s="38" t="s">
        <v>2018</v>
      </c>
      <c r="O161" s="38" t="s">
        <v>2015</v>
      </c>
      <c r="P161" s="39">
        <v>86</v>
      </c>
      <c r="Q161" s="39">
        <v>78</v>
      </c>
      <c r="R161" s="39">
        <v>7</v>
      </c>
      <c r="S161" s="39">
        <v>5</v>
      </c>
      <c r="T161" s="39">
        <v>1</v>
      </c>
      <c r="U161" s="39">
        <v>5</v>
      </c>
      <c r="V161" s="39">
        <v>5</v>
      </c>
      <c r="W161" s="39">
        <v>3</v>
      </c>
      <c r="X161" s="39">
        <v>12</v>
      </c>
      <c r="Y161" s="39">
        <v>10</v>
      </c>
      <c r="Z161" s="39">
        <v>4</v>
      </c>
      <c r="AA161" s="39">
        <v>20</v>
      </c>
      <c r="AB161" s="39">
        <v>15</v>
      </c>
      <c r="AC161" s="39">
        <v>3</v>
      </c>
      <c r="AD161" s="39">
        <v>5</v>
      </c>
      <c r="AE161" s="39">
        <v>5</v>
      </c>
      <c r="AF161" s="39">
        <v>3</v>
      </c>
      <c r="AG161" s="39">
        <v>25</v>
      </c>
      <c r="AH161" s="39">
        <v>20</v>
      </c>
      <c r="AI161" s="39">
        <v>6</v>
      </c>
      <c r="AJ161" s="39">
        <v>25</v>
      </c>
      <c r="AK161" s="39">
        <v>73</v>
      </c>
      <c r="AL161" s="39">
        <v>34.200000000000003</v>
      </c>
      <c r="AM161" s="36"/>
    </row>
    <row r="162" spans="1:39" s="37" customFormat="1" ht="13.5" customHeight="1">
      <c r="A162" s="30" t="s">
        <v>2272</v>
      </c>
      <c r="B162" s="30" t="s">
        <v>2273</v>
      </c>
      <c r="C162" s="30" t="s">
        <v>235</v>
      </c>
      <c r="D162" s="30" t="s">
        <v>2012</v>
      </c>
      <c r="E162" s="30" t="s">
        <v>2020</v>
      </c>
      <c r="F162" s="38" t="s">
        <v>2021</v>
      </c>
      <c r="G162" s="38"/>
      <c r="H162" s="38" t="s">
        <v>2307</v>
      </c>
      <c r="I162" s="38" t="s">
        <v>2015</v>
      </c>
      <c r="J162" s="38" t="s">
        <v>2015</v>
      </c>
      <c r="K162" s="38" t="s">
        <v>2018</v>
      </c>
      <c r="L162" s="38" t="s">
        <v>2017</v>
      </c>
      <c r="M162" s="38" t="s">
        <v>2018</v>
      </c>
      <c r="N162" s="38" t="s">
        <v>2018</v>
      </c>
      <c r="O162" s="38" t="s">
        <v>2015</v>
      </c>
      <c r="P162" s="39">
        <v>0</v>
      </c>
      <c r="Q162" s="39">
        <v>31</v>
      </c>
      <c r="R162" s="39">
        <v>0</v>
      </c>
      <c r="S162" s="39">
        <v>0</v>
      </c>
      <c r="T162" s="39">
        <v>0</v>
      </c>
      <c r="U162" s="39">
        <v>0</v>
      </c>
      <c r="V162" s="39">
        <v>0</v>
      </c>
      <c r="W162" s="39">
        <v>0</v>
      </c>
      <c r="X162" s="39">
        <v>0</v>
      </c>
      <c r="Y162" s="39">
        <v>0</v>
      </c>
      <c r="Z162" s="39">
        <v>0</v>
      </c>
      <c r="AA162" s="39">
        <v>0</v>
      </c>
      <c r="AB162" s="39">
        <v>0</v>
      </c>
      <c r="AC162" s="39">
        <v>0</v>
      </c>
      <c r="AD162" s="39">
        <v>0</v>
      </c>
      <c r="AE162" s="39">
        <v>0</v>
      </c>
      <c r="AF162" s="39">
        <v>0</v>
      </c>
      <c r="AG162" s="39">
        <v>0</v>
      </c>
      <c r="AH162" s="39">
        <v>0</v>
      </c>
      <c r="AI162" s="39">
        <v>0</v>
      </c>
      <c r="AJ162" s="39">
        <v>0</v>
      </c>
      <c r="AK162" s="39">
        <v>0</v>
      </c>
      <c r="AL162" s="39">
        <v>0</v>
      </c>
      <c r="AM162" s="36"/>
    </row>
    <row r="163" spans="1:39" s="37" customFormat="1" ht="13.5" customHeight="1">
      <c r="A163" s="30" t="s">
        <v>2272</v>
      </c>
      <c r="B163" s="30" t="s">
        <v>2273</v>
      </c>
      <c r="C163" s="30" t="s">
        <v>235</v>
      </c>
      <c r="D163" s="30" t="s">
        <v>2012</v>
      </c>
      <c r="E163" s="30" t="s">
        <v>2020</v>
      </c>
      <c r="F163" s="38" t="s">
        <v>2021</v>
      </c>
      <c r="G163" s="38"/>
      <c r="H163" s="38" t="s">
        <v>2308</v>
      </c>
      <c r="I163" s="38" t="s">
        <v>2015</v>
      </c>
      <c r="J163" s="38" t="s">
        <v>2015</v>
      </c>
      <c r="K163" s="38" t="s">
        <v>2018</v>
      </c>
      <c r="L163" s="38" t="s">
        <v>2017</v>
      </c>
      <c r="M163" s="38" t="s">
        <v>2018</v>
      </c>
      <c r="N163" s="38" t="s">
        <v>2018</v>
      </c>
      <c r="O163" s="38" t="s">
        <v>2015</v>
      </c>
      <c r="P163" s="39">
        <v>518</v>
      </c>
      <c r="Q163" s="39">
        <v>268</v>
      </c>
      <c r="R163" s="39">
        <v>72</v>
      </c>
      <c r="S163" s="39">
        <v>46</v>
      </c>
      <c r="T163" s="39">
        <v>18</v>
      </c>
      <c r="U163" s="39">
        <v>39</v>
      </c>
      <c r="V163" s="39">
        <v>33</v>
      </c>
      <c r="W163" s="39">
        <v>17</v>
      </c>
      <c r="X163" s="39">
        <v>111</v>
      </c>
      <c r="Y163" s="39">
        <v>79</v>
      </c>
      <c r="Z163" s="39">
        <v>35</v>
      </c>
      <c r="AA163" s="39">
        <v>202</v>
      </c>
      <c r="AB163" s="39">
        <v>129</v>
      </c>
      <c r="AC163" s="39">
        <v>50</v>
      </c>
      <c r="AD163" s="39">
        <v>43</v>
      </c>
      <c r="AE163" s="39">
        <v>36</v>
      </c>
      <c r="AF163" s="39">
        <v>19</v>
      </c>
      <c r="AG163" s="39">
        <v>245</v>
      </c>
      <c r="AH163" s="39">
        <v>165</v>
      </c>
      <c r="AI163" s="39">
        <v>69</v>
      </c>
      <c r="AJ163" s="39">
        <v>245</v>
      </c>
      <c r="AK163" s="39">
        <v>518</v>
      </c>
      <c r="AL163" s="39">
        <v>47.3</v>
      </c>
      <c r="AM163" s="36"/>
    </row>
    <row r="164" spans="1:39" s="37" customFormat="1" ht="13.5" customHeight="1">
      <c r="A164" s="30" t="s">
        <v>2272</v>
      </c>
      <c r="B164" s="30" t="s">
        <v>2273</v>
      </c>
      <c r="C164" s="30" t="s">
        <v>235</v>
      </c>
      <c r="D164" s="30" t="s">
        <v>2012</v>
      </c>
      <c r="E164" s="30" t="s">
        <v>2020</v>
      </c>
      <c r="F164" s="38" t="s">
        <v>2021</v>
      </c>
      <c r="G164" s="38"/>
      <c r="H164" s="38" t="s">
        <v>2309</v>
      </c>
      <c r="I164" s="38" t="s">
        <v>2015</v>
      </c>
      <c r="J164" s="38" t="s">
        <v>2015</v>
      </c>
      <c r="K164" s="38" t="s">
        <v>2018</v>
      </c>
      <c r="L164" s="38" t="s">
        <v>2017</v>
      </c>
      <c r="M164" s="38" t="s">
        <v>2018</v>
      </c>
      <c r="N164" s="38" t="s">
        <v>2018</v>
      </c>
      <c r="O164" s="38" t="s">
        <v>2015</v>
      </c>
      <c r="P164" s="39">
        <v>257</v>
      </c>
      <c r="Q164" s="39">
        <v>122</v>
      </c>
      <c r="R164" s="39">
        <v>32</v>
      </c>
      <c r="S164" s="39">
        <v>17</v>
      </c>
      <c r="T164" s="39">
        <v>10</v>
      </c>
      <c r="U164" s="39">
        <v>18</v>
      </c>
      <c r="V164" s="39">
        <v>13</v>
      </c>
      <c r="W164" s="39">
        <v>6</v>
      </c>
      <c r="X164" s="39">
        <v>50</v>
      </c>
      <c r="Y164" s="39">
        <v>30</v>
      </c>
      <c r="Z164" s="39">
        <v>16</v>
      </c>
      <c r="AA164" s="39">
        <v>96</v>
      </c>
      <c r="AB164" s="39">
        <v>51</v>
      </c>
      <c r="AC164" s="39">
        <v>30</v>
      </c>
      <c r="AD164" s="39">
        <v>22</v>
      </c>
      <c r="AE164" s="39">
        <v>16</v>
      </c>
      <c r="AF164" s="39">
        <v>7</v>
      </c>
      <c r="AG164" s="39">
        <v>118</v>
      </c>
      <c r="AH164" s="39">
        <v>67</v>
      </c>
      <c r="AI164" s="39">
        <v>37</v>
      </c>
      <c r="AJ164" s="39">
        <v>118</v>
      </c>
      <c r="AK164" s="39">
        <v>270</v>
      </c>
      <c r="AL164" s="39">
        <v>43.7</v>
      </c>
      <c r="AM164" s="36"/>
    </row>
    <row r="165" spans="1:39" s="37" customFormat="1" ht="13.5" customHeight="1">
      <c r="A165" s="30" t="s">
        <v>2272</v>
      </c>
      <c r="B165" s="30" t="s">
        <v>2273</v>
      </c>
      <c r="C165" s="30" t="s">
        <v>235</v>
      </c>
      <c r="D165" s="30" t="s">
        <v>2012</v>
      </c>
      <c r="E165" s="30" t="s">
        <v>2020</v>
      </c>
      <c r="F165" s="38" t="s">
        <v>2021</v>
      </c>
      <c r="G165" s="38"/>
      <c r="H165" s="38" t="s">
        <v>2310</v>
      </c>
      <c r="I165" s="38" t="s">
        <v>2015</v>
      </c>
      <c r="J165" s="38" t="s">
        <v>2015</v>
      </c>
      <c r="K165" s="38" t="s">
        <v>2018</v>
      </c>
      <c r="L165" s="38" t="s">
        <v>2017</v>
      </c>
      <c r="M165" s="38" t="s">
        <v>2018</v>
      </c>
      <c r="N165" s="38" t="s">
        <v>2018</v>
      </c>
      <c r="O165" s="38" t="s">
        <v>2015</v>
      </c>
      <c r="P165" s="39">
        <v>98</v>
      </c>
      <c r="Q165" s="39">
        <v>77</v>
      </c>
      <c r="R165" s="39">
        <v>14</v>
      </c>
      <c r="S165" s="39">
        <v>2</v>
      </c>
      <c r="T165" s="39">
        <v>1</v>
      </c>
      <c r="U165" s="39">
        <v>7</v>
      </c>
      <c r="V165" s="39">
        <v>6</v>
      </c>
      <c r="W165" s="39">
        <v>5</v>
      </c>
      <c r="X165" s="39">
        <v>21</v>
      </c>
      <c r="Y165" s="39">
        <v>8</v>
      </c>
      <c r="Z165" s="39">
        <v>6</v>
      </c>
      <c r="AA165" s="39">
        <v>49</v>
      </c>
      <c r="AB165" s="39">
        <v>7</v>
      </c>
      <c r="AC165" s="39">
        <v>4</v>
      </c>
      <c r="AD165" s="39">
        <v>7</v>
      </c>
      <c r="AE165" s="39">
        <v>6</v>
      </c>
      <c r="AF165" s="39">
        <v>5</v>
      </c>
      <c r="AG165" s="39">
        <v>56</v>
      </c>
      <c r="AH165" s="39">
        <v>13</v>
      </c>
      <c r="AI165" s="39">
        <v>9</v>
      </c>
      <c r="AJ165" s="39">
        <v>56</v>
      </c>
      <c r="AK165" s="39">
        <v>91</v>
      </c>
      <c r="AL165" s="39">
        <v>61.5</v>
      </c>
      <c r="AM165" s="36"/>
    </row>
    <row r="166" spans="1:39" s="37" customFormat="1" ht="13.5" customHeight="1">
      <c r="A166" s="30" t="s">
        <v>2272</v>
      </c>
      <c r="B166" s="30" t="s">
        <v>2273</v>
      </c>
      <c r="C166" s="30" t="s">
        <v>235</v>
      </c>
      <c r="D166" s="30" t="s">
        <v>2012</v>
      </c>
      <c r="E166" s="30" t="s">
        <v>2020</v>
      </c>
      <c r="F166" s="38" t="s">
        <v>2021</v>
      </c>
      <c r="G166" s="38"/>
      <c r="H166" s="38" t="s">
        <v>2311</v>
      </c>
      <c r="I166" s="38" t="s">
        <v>2015</v>
      </c>
      <c r="J166" s="38" t="s">
        <v>2015</v>
      </c>
      <c r="K166" s="38" t="s">
        <v>2018</v>
      </c>
      <c r="L166" s="38" t="s">
        <v>2017</v>
      </c>
      <c r="M166" s="38" t="s">
        <v>2018</v>
      </c>
      <c r="N166" s="38" t="s">
        <v>2018</v>
      </c>
      <c r="O166" s="38" t="s">
        <v>2015</v>
      </c>
      <c r="P166" s="39">
        <v>122</v>
      </c>
      <c r="Q166" s="39">
        <v>88</v>
      </c>
      <c r="R166" s="39">
        <v>22</v>
      </c>
      <c r="S166" s="39">
        <v>12</v>
      </c>
      <c r="T166" s="39">
        <v>1</v>
      </c>
      <c r="U166" s="39">
        <v>9</v>
      </c>
      <c r="V166" s="39">
        <v>9</v>
      </c>
      <c r="W166" s="39">
        <v>5</v>
      </c>
      <c r="X166" s="39">
        <v>31</v>
      </c>
      <c r="Y166" s="39">
        <v>21</v>
      </c>
      <c r="Z166" s="39">
        <v>6</v>
      </c>
      <c r="AA166" s="39">
        <v>66</v>
      </c>
      <c r="AB166" s="39">
        <v>36</v>
      </c>
      <c r="AC166" s="39">
        <v>3</v>
      </c>
      <c r="AD166" s="39">
        <v>9</v>
      </c>
      <c r="AE166" s="39">
        <v>9</v>
      </c>
      <c r="AF166" s="39">
        <v>5</v>
      </c>
      <c r="AG166" s="39">
        <v>75</v>
      </c>
      <c r="AH166" s="39">
        <v>45</v>
      </c>
      <c r="AI166" s="39">
        <v>8</v>
      </c>
      <c r="AJ166" s="39">
        <v>75</v>
      </c>
      <c r="AK166" s="39">
        <v>124</v>
      </c>
      <c r="AL166" s="39">
        <v>60.5</v>
      </c>
      <c r="AM166" s="36"/>
    </row>
    <row r="167" spans="1:39" s="37" customFormat="1" ht="13.5" customHeight="1">
      <c r="A167" s="30" t="s">
        <v>2272</v>
      </c>
      <c r="B167" s="30" t="s">
        <v>2273</v>
      </c>
      <c r="C167" s="30" t="s">
        <v>235</v>
      </c>
      <c r="D167" s="30" t="s">
        <v>2012</v>
      </c>
      <c r="E167" s="30" t="s">
        <v>2020</v>
      </c>
      <c r="F167" s="38" t="s">
        <v>2021</v>
      </c>
      <c r="G167" s="38"/>
      <c r="H167" s="38" t="s">
        <v>2312</v>
      </c>
      <c r="I167" s="38" t="s">
        <v>2015</v>
      </c>
      <c r="J167" s="38" t="s">
        <v>2015</v>
      </c>
      <c r="K167" s="38" t="s">
        <v>2018</v>
      </c>
      <c r="L167" s="38" t="s">
        <v>2017</v>
      </c>
      <c r="M167" s="38" t="s">
        <v>2018</v>
      </c>
      <c r="N167" s="38" t="s">
        <v>2018</v>
      </c>
      <c r="O167" s="38" t="s">
        <v>2015</v>
      </c>
      <c r="P167" s="39">
        <v>63</v>
      </c>
      <c r="Q167" s="39">
        <v>52</v>
      </c>
      <c r="R167" s="39">
        <v>14</v>
      </c>
      <c r="S167" s="39">
        <v>7</v>
      </c>
      <c r="T167" s="39">
        <v>2</v>
      </c>
      <c r="U167" s="39">
        <v>6</v>
      </c>
      <c r="V167" s="39">
        <v>4</v>
      </c>
      <c r="W167" s="39">
        <v>4</v>
      </c>
      <c r="X167" s="39">
        <v>20</v>
      </c>
      <c r="Y167" s="39">
        <v>11</v>
      </c>
      <c r="Z167" s="39">
        <v>6</v>
      </c>
      <c r="AA167" s="39">
        <v>43</v>
      </c>
      <c r="AB167" s="39">
        <v>22</v>
      </c>
      <c r="AC167" s="39">
        <v>6</v>
      </c>
      <c r="AD167" s="39">
        <v>6</v>
      </c>
      <c r="AE167" s="39">
        <v>4</v>
      </c>
      <c r="AF167" s="39">
        <v>4</v>
      </c>
      <c r="AG167" s="39">
        <v>49</v>
      </c>
      <c r="AH167" s="39">
        <v>26</v>
      </c>
      <c r="AI167" s="39">
        <v>10</v>
      </c>
      <c r="AJ167" s="39">
        <v>49</v>
      </c>
      <c r="AK167" s="39">
        <v>67</v>
      </c>
      <c r="AL167" s="39">
        <v>73.099999999999994</v>
      </c>
      <c r="AM167" s="36"/>
    </row>
    <row r="168" spans="1:39" s="37" customFormat="1" ht="13.5" customHeight="1">
      <c r="A168" s="30" t="s">
        <v>2272</v>
      </c>
      <c r="B168" s="30" t="s">
        <v>2273</v>
      </c>
      <c r="C168" s="30" t="s">
        <v>235</v>
      </c>
      <c r="D168" s="30" t="s">
        <v>2012</v>
      </c>
      <c r="E168" s="30" t="s">
        <v>2020</v>
      </c>
      <c r="F168" s="38" t="s">
        <v>2021</v>
      </c>
      <c r="G168" s="38"/>
      <c r="H168" s="38" t="s">
        <v>2313</v>
      </c>
      <c r="I168" s="38" t="s">
        <v>2015</v>
      </c>
      <c r="J168" s="38" t="s">
        <v>2015</v>
      </c>
      <c r="K168" s="38" t="s">
        <v>2018</v>
      </c>
      <c r="L168" s="38" t="s">
        <v>2017</v>
      </c>
      <c r="M168" s="38" t="s">
        <v>2018</v>
      </c>
      <c r="N168" s="38" t="s">
        <v>2018</v>
      </c>
      <c r="O168" s="38" t="s">
        <v>2015</v>
      </c>
      <c r="P168" s="39">
        <v>1240</v>
      </c>
      <c r="Q168" s="39">
        <v>489</v>
      </c>
      <c r="R168" s="39">
        <v>162</v>
      </c>
      <c r="S168" s="39">
        <v>87</v>
      </c>
      <c r="T168" s="39">
        <v>52</v>
      </c>
      <c r="U168" s="39">
        <v>82</v>
      </c>
      <c r="V168" s="39">
        <v>62</v>
      </c>
      <c r="W168" s="39">
        <v>48</v>
      </c>
      <c r="X168" s="39">
        <v>244</v>
      </c>
      <c r="Y168" s="39">
        <v>149</v>
      </c>
      <c r="Z168" s="39">
        <v>100</v>
      </c>
      <c r="AA168" s="39">
        <v>518</v>
      </c>
      <c r="AB168" s="39">
        <v>278</v>
      </c>
      <c r="AC168" s="39">
        <v>166</v>
      </c>
      <c r="AD168" s="39">
        <v>90</v>
      </c>
      <c r="AE168" s="39">
        <v>68</v>
      </c>
      <c r="AF168" s="39">
        <v>53</v>
      </c>
      <c r="AG168" s="39">
        <v>608</v>
      </c>
      <c r="AH168" s="39">
        <v>346</v>
      </c>
      <c r="AI168" s="39">
        <v>219</v>
      </c>
      <c r="AJ168" s="39">
        <v>608</v>
      </c>
      <c r="AK168" s="39">
        <v>1243</v>
      </c>
      <c r="AL168" s="39">
        <v>48.9</v>
      </c>
      <c r="AM168" s="36"/>
    </row>
    <row r="169" spans="1:39" s="37" customFormat="1" ht="13.5" customHeight="1">
      <c r="A169" s="30" t="s">
        <v>2272</v>
      </c>
      <c r="B169" s="30" t="s">
        <v>2273</v>
      </c>
      <c r="C169" s="30" t="s">
        <v>235</v>
      </c>
      <c r="D169" s="30" t="s">
        <v>2012</v>
      </c>
      <c r="E169" s="30" t="s">
        <v>2020</v>
      </c>
      <c r="F169" s="38" t="s">
        <v>2021</v>
      </c>
      <c r="G169" s="38"/>
      <c r="H169" s="38" t="s">
        <v>2314</v>
      </c>
      <c r="I169" s="38" t="s">
        <v>2015</v>
      </c>
      <c r="J169" s="38" t="s">
        <v>2015</v>
      </c>
      <c r="K169" s="38" t="s">
        <v>2018</v>
      </c>
      <c r="L169" s="38" t="s">
        <v>2017</v>
      </c>
      <c r="M169" s="38" t="s">
        <v>2018</v>
      </c>
      <c r="N169" s="38" t="s">
        <v>2018</v>
      </c>
      <c r="O169" s="38" t="s">
        <v>2015</v>
      </c>
      <c r="P169" s="39">
        <v>6476</v>
      </c>
      <c r="Q169" s="39">
        <v>2994</v>
      </c>
      <c r="R169" s="39">
        <v>718</v>
      </c>
      <c r="S169" s="39">
        <v>402</v>
      </c>
      <c r="T169" s="39">
        <v>219</v>
      </c>
      <c r="U169" s="39">
        <v>780</v>
      </c>
      <c r="V169" s="39">
        <v>609</v>
      </c>
      <c r="W169" s="39">
        <v>375</v>
      </c>
      <c r="X169" s="39">
        <v>1498</v>
      </c>
      <c r="Y169" s="39">
        <v>1011</v>
      </c>
      <c r="Z169" s="39">
        <v>594</v>
      </c>
      <c r="AA169" s="39">
        <v>2197</v>
      </c>
      <c r="AB169" s="39">
        <v>1251</v>
      </c>
      <c r="AC169" s="39">
        <v>674</v>
      </c>
      <c r="AD169" s="39">
        <v>865</v>
      </c>
      <c r="AE169" s="39">
        <v>674</v>
      </c>
      <c r="AF169" s="39">
        <v>415</v>
      </c>
      <c r="AG169" s="39">
        <v>3062</v>
      </c>
      <c r="AH169" s="39">
        <v>1925</v>
      </c>
      <c r="AI169" s="39">
        <v>1089</v>
      </c>
      <c r="AJ169" s="39">
        <v>3062</v>
      </c>
      <c r="AK169" s="39">
        <v>6128</v>
      </c>
      <c r="AL169" s="39">
        <v>50</v>
      </c>
      <c r="AM169" s="36"/>
    </row>
    <row r="170" spans="1:39" s="37" customFormat="1" ht="13.5" customHeight="1">
      <c r="A170" s="30" t="s">
        <v>2272</v>
      </c>
      <c r="B170" s="30" t="s">
        <v>2273</v>
      </c>
      <c r="C170" s="30" t="s">
        <v>235</v>
      </c>
      <c r="D170" s="30" t="s">
        <v>2012</v>
      </c>
      <c r="E170" s="30" t="s">
        <v>2020</v>
      </c>
      <c r="F170" s="38" t="s">
        <v>2021</v>
      </c>
      <c r="G170" s="38"/>
      <c r="H170" s="38" t="s">
        <v>2315</v>
      </c>
      <c r="I170" s="38" t="s">
        <v>2015</v>
      </c>
      <c r="J170" s="38" t="s">
        <v>2015</v>
      </c>
      <c r="K170" s="38" t="s">
        <v>2018</v>
      </c>
      <c r="L170" s="38" t="s">
        <v>2017</v>
      </c>
      <c r="M170" s="38" t="s">
        <v>2018</v>
      </c>
      <c r="N170" s="38" t="s">
        <v>2018</v>
      </c>
      <c r="O170" s="38" t="s">
        <v>2015</v>
      </c>
      <c r="P170" s="39">
        <v>793</v>
      </c>
      <c r="Q170" s="39">
        <v>635</v>
      </c>
      <c r="R170" s="39">
        <v>98</v>
      </c>
      <c r="S170" s="39">
        <v>60</v>
      </c>
      <c r="T170" s="39">
        <v>21</v>
      </c>
      <c r="U170" s="39">
        <v>92</v>
      </c>
      <c r="V170" s="39">
        <v>59</v>
      </c>
      <c r="W170" s="39">
        <v>36</v>
      </c>
      <c r="X170" s="39">
        <v>190</v>
      </c>
      <c r="Y170" s="39">
        <v>119</v>
      </c>
      <c r="Z170" s="39">
        <v>57</v>
      </c>
      <c r="AA170" s="39">
        <v>274</v>
      </c>
      <c r="AB170" s="39">
        <v>168</v>
      </c>
      <c r="AC170" s="39">
        <v>59</v>
      </c>
      <c r="AD170" s="39">
        <v>110</v>
      </c>
      <c r="AE170" s="39">
        <v>71</v>
      </c>
      <c r="AF170" s="39">
        <v>43</v>
      </c>
      <c r="AG170" s="39">
        <v>384</v>
      </c>
      <c r="AH170" s="39">
        <v>239</v>
      </c>
      <c r="AI170" s="39">
        <v>102</v>
      </c>
      <c r="AJ170" s="39">
        <v>384</v>
      </c>
      <c r="AK170" s="39">
        <v>798</v>
      </c>
      <c r="AL170" s="39">
        <v>48.1</v>
      </c>
      <c r="AM170" s="36"/>
    </row>
    <row r="171" spans="1:39" s="37" customFormat="1" ht="13.5" customHeight="1">
      <c r="A171" s="30" t="s">
        <v>2272</v>
      </c>
      <c r="B171" s="30" t="s">
        <v>2273</v>
      </c>
      <c r="C171" s="30" t="s">
        <v>235</v>
      </c>
      <c r="D171" s="30" t="s">
        <v>2012</v>
      </c>
      <c r="E171" s="30" t="s">
        <v>2020</v>
      </c>
      <c r="F171" s="38" t="s">
        <v>2021</v>
      </c>
      <c r="G171" s="38"/>
      <c r="H171" s="38" t="s">
        <v>2316</v>
      </c>
      <c r="I171" s="38" t="s">
        <v>2015</v>
      </c>
      <c r="J171" s="38" t="s">
        <v>2015</v>
      </c>
      <c r="K171" s="38" t="s">
        <v>2018</v>
      </c>
      <c r="L171" s="38" t="s">
        <v>2017</v>
      </c>
      <c r="M171" s="38" t="s">
        <v>2018</v>
      </c>
      <c r="N171" s="38" t="s">
        <v>2018</v>
      </c>
      <c r="O171" s="38" t="s">
        <v>2015</v>
      </c>
      <c r="P171" s="39">
        <v>2361</v>
      </c>
      <c r="Q171" s="39">
        <v>1169</v>
      </c>
      <c r="R171" s="39">
        <v>189</v>
      </c>
      <c r="S171" s="39">
        <v>96</v>
      </c>
      <c r="T171" s="39">
        <v>39</v>
      </c>
      <c r="U171" s="39">
        <v>147</v>
      </c>
      <c r="V171" s="39">
        <v>107</v>
      </c>
      <c r="W171" s="39">
        <v>82</v>
      </c>
      <c r="X171" s="39">
        <v>336</v>
      </c>
      <c r="Y171" s="39">
        <v>203</v>
      </c>
      <c r="Z171" s="39">
        <v>121</v>
      </c>
      <c r="AA171" s="39">
        <v>563</v>
      </c>
      <c r="AB171" s="39">
        <v>290</v>
      </c>
      <c r="AC171" s="39">
        <v>118</v>
      </c>
      <c r="AD171" s="39">
        <v>172</v>
      </c>
      <c r="AE171" s="39">
        <v>125</v>
      </c>
      <c r="AF171" s="39">
        <v>96</v>
      </c>
      <c r="AG171" s="39">
        <v>735</v>
      </c>
      <c r="AH171" s="39">
        <v>415</v>
      </c>
      <c r="AI171" s="39">
        <v>214</v>
      </c>
      <c r="AJ171" s="39">
        <v>735</v>
      </c>
      <c r="AK171" s="39">
        <v>1873</v>
      </c>
      <c r="AL171" s="39">
        <v>39.200000000000003</v>
      </c>
      <c r="AM171" s="36"/>
    </row>
    <row r="172" spans="1:39" s="37" customFormat="1" ht="13.5" customHeight="1">
      <c r="A172" s="30" t="s">
        <v>2272</v>
      </c>
      <c r="B172" s="30" t="s">
        <v>2273</v>
      </c>
      <c r="C172" s="30" t="s">
        <v>235</v>
      </c>
      <c r="D172" s="30" t="s">
        <v>2012</v>
      </c>
      <c r="E172" s="30" t="s">
        <v>2020</v>
      </c>
      <c r="F172" s="38" t="s">
        <v>2021</v>
      </c>
      <c r="G172" s="38"/>
      <c r="H172" s="38" t="s">
        <v>2317</v>
      </c>
      <c r="I172" s="38" t="s">
        <v>2015</v>
      </c>
      <c r="J172" s="38" t="s">
        <v>2015</v>
      </c>
      <c r="K172" s="38" t="s">
        <v>2018</v>
      </c>
      <c r="L172" s="38" t="s">
        <v>2017</v>
      </c>
      <c r="M172" s="38" t="s">
        <v>2018</v>
      </c>
      <c r="N172" s="38" t="s">
        <v>2018</v>
      </c>
      <c r="O172" s="38" t="s">
        <v>2015</v>
      </c>
      <c r="P172" s="39">
        <v>892</v>
      </c>
      <c r="Q172" s="39">
        <v>473</v>
      </c>
      <c r="R172" s="39">
        <v>115</v>
      </c>
      <c r="S172" s="39">
        <v>74</v>
      </c>
      <c r="T172" s="39">
        <v>38</v>
      </c>
      <c r="U172" s="39">
        <v>60</v>
      </c>
      <c r="V172" s="39">
        <v>47</v>
      </c>
      <c r="W172" s="39">
        <v>27</v>
      </c>
      <c r="X172" s="39">
        <v>175</v>
      </c>
      <c r="Y172" s="39">
        <v>121</v>
      </c>
      <c r="Z172" s="39">
        <v>65</v>
      </c>
      <c r="AA172" s="39">
        <v>357</v>
      </c>
      <c r="AB172" s="39">
        <v>229</v>
      </c>
      <c r="AC172" s="39">
        <v>118</v>
      </c>
      <c r="AD172" s="39">
        <v>78</v>
      </c>
      <c r="AE172" s="39">
        <v>61</v>
      </c>
      <c r="AF172" s="39">
        <v>35</v>
      </c>
      <c r="AG172" s="39">
        <v>435</v>
      </c>
      <c r="AH172" s="39">
        <v>290</v>
      </c>
      <c r="AI172" s="39">
        <v>153</v>
      </c>
      <c r="AJ172" s="39">
        <v>435</v>
      </c>
      <c r="AK172" s="39">
        <v>868</v>
      </c>
      <c r="AL172" s="39">
        <v>50.1</v>
      </c>
      <c r="AM172" s="36"/>
    </row>
    <row r="173" spans="1:39" s="37" customFormat="1" ht="13.5" customHeight="1">
      <c r="A173" s="30" t="s">
        <v>2272</v>
      </c>
      <c r="B173" s="30" t="s">
        <v>2273</v>
      </c>
      <c r="C173" s="30" t="s">
        <v>235</v>
      </c>
      <c r="D173" s="30" t="s">
        <v>2012</v>
      </c>
      <c r="E173" s="30" t="s">
        <v>2020</v>
      </c>
      <c r="F173" s="38" t="s">
        <v>2021</v>
      </c>
      <c r="G173" s="38"/>
      <c r="H173" s="38" t="s">
        <v>2318</v>
      </c>
      <c r="I173" s="38" t="s">
        <v>2015</v>
      </c>
      <c r="J173" s="38" t="s">
        <v>2015</v>
      </c>
      <c r="K173" s="38" t="s">
        <v>2018</v>
      </c>
      <c r="L173" s="38" t="s">
        <v>2017</v>
      </c>
      <c r="M173" s="38" t="s">
        <v>2018</v>
      </c>
      <c r="N173" s="38" t="s">
        <v>2018</v>
      </c>
      <c r="O173" s="38" t="s">
        <v>2015</v>
      </c>
      <c r="P173" s="39">
        <v>955</v>
      </c>
      <c r="Q173" s="39">
        <v>447</v>
      </c>
      <c r="R173" s="39">
        <v>110</v>
      </c>
      <c r="S173" s="39">
        <v>60</v>
      </c>
      <c r="T173" s="39">
        <v>18</v>
      </c>
      <c r="U173" s="39">
        <v>74</v>
      </c>
      <c r="V173" s="39">
        <v>57</v>
      </c>
      <c r="W173" s="39">
        <v>47</v>
      </c>
      <c r="X173" s="39">
        <v>184</v>
      </c>
      <c r="Y173" s="39">
        <v>117</v>
      </c>
      <c r="Z173" s="39">
        <v>65</v>
      </c>
      <c r="AA173" s="39">
        <v>330</v>
      </c>
      <c r="AB173" s="39">
        <v>180</v>
      </c>
      <c r="AC173" s="39">
        <v>54</v>
      </c>
      <c r="AD173" s="39">
        <v>96</v>
      </c>
      <c r="AE173" s="39">
        <v>74</v>
      </c>
      <c r="AF173" s="39">
        <v>61</v>
      </c>
      <c r="AG173" s="39">
        <v>426</v>
      </c>
      <c r="AH173" s="39">
        <v>254</v>
      </c>
      <c r="AI173" s="39">
        <v>115</v>
      </c>
      <c r="AJ173" s="39">
        <v>426</v>
      </c>
      <c r="AK173" s="39">
        <v>955</v>
      </c>
      <c r="AL173" s="39">
        <v>44.6</v>
      </c>
      <c r="AM173" s="36"/>
    </row>
    <row r="174" spans="1:39" s="37" customFormat="1" ht="13.5" customHeight="1">
      <c r="A174" s="30" t="s">
        <v>2272</v>
      </c>
      <c r="B174" s="30" t="s">
        <v>2273</v>
      </c>
      <c r="C174" s="30" t="s">
        <v>235</v>
      </c>
      <c r="D174" s="30" t="s">
        <v>2012</v>
      </c>
      <c r="E174" s="30" t="s">
        <v>2020</v>
      </c>
      <c r="F174" s="38" t="s">
        <v>2021</v>
      </c>
      <c r="G174" s="38"/>
      <c r="H174" s="38" t="s">
        <v>2319</v>
      </c>
      <c r="I174" s="38" t="s">
        <v>2015</v>
      </c>
      <c r="J174" s="38" t="s">
        <v>2015</v>
      </c>
      <c r="K174" s="38" t="s">
        <v>2018</v>
      </c>
      <c r="L174" s="38" t="s">
        <v>2017</v>
      </c>
      <c r="M174" s="38" t="s">
        <v>2018</v>
      </c>
      <c r="N174" s="38" t="s">
        <v>2018</v>
      </c>
      <c r="O174" s="38" t="s">
        <v>2015</v>
      </c>
      <c r="P174" s="39">
        <v>402</v>
      </c>
      <c r="Q174" s="39">
        <v>203</v>
      </c>
      <c r="R174" s="39">
        <v>68</v>
      </c>
      <c r="S174" s="39">
        <v>40</v>
      </c>
      <c r="T174" s="39">
        <v>24</v>
      </c>
      <c r="U174" s="39">
        <v>25</v>
      </c>
      <c r="V174" s="39">
        <v>15</v>
      </c>
      <c r="W174" s="39">
        <v>6</v>
      </c>
      <c r="X174" s="39">
        <v>93</v>
      </c>
      <c r="Y174" s="39">
        <v>55</v>
      </c>
      <c r="Z174" s="39">
        <v>30</v>
      </c>
      <c r="AA174" s="39">
        <v>211</v>
      </c>
      <c r="AB174" s="39">
        <v>124</v>
      </c>
      <c r="AC174" s="39">
        <v>74</v>
      </c>
      <c r="AD174" s="39">
        <v>33</v>
      </c>
      <c r="AE174" s="39">
        <v>20</v>
      </c>
      <c r="AF174" s="39">
        <v>8</v>
      </c>
      <c r="AG174" s="39">
        <v>244</v>
      </c>
      <c r="AH174" s="39">
        <v>144</v>
      </c>
      <c r="AI174" s="39">
        <v>82</v>
      </c>
      <c r="AJ174" s="39">
        <v>244</v>
      </c>
      <c r="AK174" s="39">
        <v>401</v>
      </c>
      <c r="AL174" s="39">
        <v>60.8</v>
      </c>
      <c r="AM174" s="36"/>
    </row>
    <row r="175" spans="1:39" s="37" customFormat="1" ht="13.5" customHeight="1">
      <c r="A175" s="30" t="s">
        <v>2272</v>
      </c>
      <c r="B175" s="30" t="s">
        <v>2273</v>
      </c>
      <c r="C175" s="30" t="s">
        <v>235</v>
      </c>
      <c r="D175" s="30" t="s">
        <v>2012</v>
      </c>
      <c r="E175" s="30" t="s">
        <v>2020</v>
      </c>
      <c r="F175" s="38" t="s">
        <v>2021</v>
      </c>
      <c r="G175" s="38"/>
      <c r="H175" s="38" t="s">
        <v>2320</v>
      </c>
      <c r="I175" s="38" t="s">
        <v>2015</v>
      </c>
      <c r="J175" s="38" t="s">
        <v>2015</v>
      </c>
      <c r="K175" s="38" t="s">
        <v>2018</v>
      </c>
      <c r="L175" s="38" t="s">
        <v>2017</v>
      </c>
      <c r="M175" s="38" t="s">
        <v>2018</v>
      </c>
      <c r="N175" s="38" t="s">
        <v>2018</v>
      </c>
      <c r="O175" s="38" t="s">
        <v>2015</v>
      </c>
      <c r="P175" s="39">
        <v>98</v>
      </c>
      <c r="Q175" s="39">
        <v>79</v>
      </c>
      <c r="R175" s="39">
        <v>25</v>
      </c>
      <c r="S175" s="39">
        <v>12</v>
      </c>
      <c r="T175" s="39">
        <v>5</v>
      </c>
      <c r="U175" s="39">
        <v>6</v>
      </c>
      <c r="V175" s="39">
        <v>6</v>
      </c>
      <c r="W175" s="39">
        <v>5</v>
      </c>
      <c r="X175" s="39">
        <v>31</v>
      </c>
      <c r="Y175" s="39">
        <v>18</v>
      </c>
      <c r="Z175" s="39">
        <v>10</v>
      </c>
      <c r="AA175" s="39">
        <v>55</v>
      </c>
      <c r="AB175" s="39">
        <v>26</v>
      </c>
      <c r="AC175" s="39">
        <v>11</v>
      </c>
      <c r="AD175" s="39">
        <v>6</v>
      </c>
      <c r="AE175" s="39">
        <v>6</v>
      </c>
      <c r="AF175" s="39">
        <v>5</v>
      </c>
      <c r="AG175" s="39">
        <v>61</v>
      </c>
      <c r="AH175" s="39">
        <v>32</v>
      </c>
      <c r="AI175" s="39">
        <v>16</v>
      </c>
      <c r="AJ175" s="39">
        <v>61</v>
      </c>
      <c r="AK175" s="39">
        <v>91</v>
      </c>
      <c r="AL175" s="39">
        <v>67</v>
      </c>
      <c r="AM175" s="36"/>
    </row>
    <row r="176" spans="1:39" s="37" customFormat="1" ht="13.5" customHeight="1">
      <c r="A176" s="30" t="s">
        <v>2272</v>
      </c>
      <c r="B176" s="30" t="s">
        <v>2273</v>
      </c>
      <c r="C176" s="30" t="s">
        <v>235</v>
      </c>
      <c r="D176" s="30" t="s">
        <v>2012</v>
      </c>
      <c r="E176" s="30" t="s">
        <v>2020</v>
      </c>
      <c r="F176" s="38" t="s">
        <v>2021</v>
      </c>
      <c r="G176" s="38"/>
      <c r="H176" s="38" t="s">
        <v>2321</v>
      </c>
      <c r="I176" s="38" t="s">
        <v>2015</v>
      </c>
      <c r="J176" s="38" t="s">
        <v>2015</v>
      </c>
      <c r="K176" s="38" t="s">
        <v>2018</v>
      </c>
      <c r="L176" s="38" t="s">
        <v>2017</v>
      </c>
      <c r="M176" s="38" t="s">
        <v>2018</v>
      </c>
      <c r="N176" s="38" t="s">
        <v>2018</v>
      </c>
      <c r="O176" s="38" t="s">
        <v>2015</v>
      </c>
      <c r="P176" s="39">
        <v>4534</v>
      </c>
      <c r="Q176" s="39">
        <v>2362</v>
      </c>
      <c r="R176" s="39">
        <v>466</v>
      </c>
      <c r="S176" s="39">
        <v>223</v>
      </c>
      <c r="T176" s="39">
        <v>73</v>
      </c>
      <c r="U176" s="39">
        <v>496</v>
      </c>
      <c r="V176" s="39">
        <v>355</v>
      </c>
      <c r="W176" s="39">
        <v>214</v>
      </c>
      <c r="X176" s="39">
        <v>962</v>
      </c>
      <c r="Y176" s="39">
        <v>578</v>
      </c>
      <c r="Z176" s="39">
        <v>287</v>
      </c>
      <c r="AA176" s="39">
        <v>1284</v>
      </c>
      <c r="AB176" s="39">
        <v>617</v>
      </c>
      <c r="AC176" s="39">
        <v>204</v>
      </c>
      <c r="AD176" s="39">
        <v>580</v>
      </c>
      <c r="AE176" s="39">
        <v>418</v>
      </c>
      <c r="AF176" s="39">
        <v>253</v>
      </c>
      <c r="AG176" s="39">
        <v>1864</v>
      </c>
      <c r="AH176" s="39">
        <v>1035</v>
      </c>
      <c r="AI176" s="39">
        <v>457</v>
      </c>
      <c r="AJ176" s="39">
        <v>1864</v>
      </c>
      <c r="AK176" s="39">
        <v>4426</v>
      </c>
      <c r="AL176" s="39">
        <v>42.1</v>
      </c>
      <c r="AM176" s="36"/>
    </row>
    <row r="177" spans="1:39" s="37" customFormat="1" ht="13.5" customHeight="1">
      <c r="A177" s="30" t="s">
        <v>2272</v>
      </c>
      <c r="B177" s="30" t="s">
        <v>2273</v>
      </c>
      <c r="C177" s="30" t="s">
        <v>235</v>
      </c>
      <c r="D177" s="30" t="s">
        <v>2012</v>
      </c>
      <c r="E177" s="30" t="s">
        <v>2020</v>
      </c>
      <c r="F177" s="38" t="s">
        <v>2021</v>
      </c>
      <c r="G177" s="38"/>
      <c r="H177" s="38" t="s">
        <v>2322</v>
      </c>
      <c r="I177" s="38" t="s">
        <v>2015</v>
      </c>
      <c r="J177" s="38" t="s">
        <v>2015</v>
      </c>
      <c r="K177" s="38" t="s">
        <v>2018</v>
      </c>
      <c r="L177" s="38" t="s">
        <v>2017</v>
      </c>
      <c r="M177" s="38" t="s">
        <v>2018</v>
      </c>
      <c r="N177" s="38" t="s">
        <v>2018</v>
      </c>
      <c r="O177" s="38" t="s">
        <v>2015</v>
      </c>
      <c r="P177" s="39">
        <v>1889</v>
      </c>
      <c r="Q177" s="39">
        <v>787</v>
      </c>
      <c r="R177" s="39">
        <v>184</v>
      </c>
      <c r="S177" s="39">
        <v>80</v>
      </c>
      <c r="T177" s="39">
        <v>25</v>
      </c>
      <c r="U177" s="39">
        <v>118</v>
      </c>
      <c r="V177" s="39">
        <v>73</v>
      </c>
      <c r="W177" s="39">
        <v>40</v>
      </c>
      <c r="X177" s="39">
        <v>302</v>
      </c>
      <c r="Y177" s="39">
        <v>153</v>
      </c>
      <c r="Z177" s="39">
        <v>65</v>
      </c>
      <c r="AA177" s="39">
        <v>552</v>
      </c>
      <c r="AB177" s="39">
        <v>240</v>
      </c>
      <c r="AC177" s="39">
        <v>75</v>
      </c>
      <c r="AD177" s="39">
        <v>153</v>
      </c>
      <c r="AE177" s="39">
        <v>95</v>
      </c>
      <c r="AF177" s="39">
        <v>51</v>
      </c>
      <c r="AG177" s="39">
        <v>705</v>
      </c>
      <c r="AH177" s="39">
        <v>335</v>
      </c>
      <c r="AI177" s="39">
        <v>126</v>
      </c>
      <c r="AJ177" s="39">
        <v>705</v>
      </c>
      <c r="AK177" s="39">
        <v>1904</v>
      </c>
      <c r="AL177" s="39">
        <v>37</v>
      </c>
      <c r="AM177" s="36"/>
    </row>
    <row r="178" spans="1:39" s="37" customFormat="1" ht="13.5" customHeight="1">
      <c r="A178" s="30" t="s">
        <v>2272</v>
      </c>
      <c r="B178" s="30" t="s">
        <v>2273</v>
      </c>
      <c r="C178" s="30" t="s">
        <v>235</v>
      </c>
      <c r="D178" s="30" t="s">
        <v>2012</v>
      </c>
      <c r="E178" s="30" t="s">
        <v>2020</v>
      </c>
      <c r="F178" s="159" t="s">
        <v>2021</v>
      </c>
      <c r="G178" s="159"/>
      <c r="H178" s="159" t="s">
        <v>2323</v>
      </c>
      <c r="I178" s="159" t="s">
        <v>2015</v>
      </c>
      <c r="J178" s="159" t="s">
        <v>2015</v>
      </c>
      <c r="K178" s="159" t="s">
        <v>2018</v>
      </c>
      <c r="L178" s="159" t="s">
        <v>2017</v>
      </c>
      <c r="M178" s="159" t="s">
        <v>2018</v>
      </c>
      <c r="N178" s="159" t="s">
        <v>2018</v>
      </c>
      <c r="O178" s="159" t="s">
        <v>2015</v>
      </c>
      <c r="P178" s="160">
        <v>1480</v>
      </c>
      <c r="Q178" s="160">
        <v>708</v>
      </c>
      <c r="R178" s="160">
        <v>192</v>
      </c>
      <c r="S178" s="160">
        <v>108</v>
      </c>
      <c r="T178" s="160">
        <v>55</v>
      </c>
      <c r="U178" s="160">
        <v>156</v>
      </c>
      <c r="V178" s="160">
        <v>128</v>
      </c>
      <c r="W178" s="160">
        <v>80</v>
      </c>
      <c r="X178" s="160">
        <v>348</v>
      </c>
      <c r="Y178" s="160">
        <v>236</v>
      </c>
      <c r="Z178" s="160">
        <v>135</v>
      </c>
      <c r="AA178" s="160">
        <v>571</v>
      </c>
      <c r="AB178" s="160">
        <v>324</v>
      </c>
      <c r="AC178" s="160">
        <v>164</v>
      </c>
      <c r="AD178" s="160">
        <v>167</v>
      </c>
      <c r="AE178" s="160">
        <v>137</v>
      </c>
      <c r="AF178" s="160">
        <v>85</v>
      </c>
      <c r="AG178" s="160">
        <v>738</v>
      </c>
      <c r="AH178" s="160">
        <v>461</v>
      </c>
      <c r="AI178" s="160">
        <v>249</v>
      </c>
      <c r="AJ178" s="160">
        <v>738</v>
      </c>
      <c r="AK178" s="160">
        <v>1451</v>
      </c>
      <c r="AL178" s="160">
        <v>50.9</v>
      </c>
      <c r="AM178" s="36"/>
    </row>
    <row r="179" spans="1:39" s="37" customFormat="1" ht="13.5" customHeight="1">
      <c r="A179" s="30" t="s">
        <v>2272</v>
      </c>
      <c r="B179" s="30" t="s">
        <v>2273</v>
      </c>
      <c r="C179" s="30" t="s">
        <v>235</v>
      </c>
      <c r="D179" s="30" t="s">
        <v>2012</v>
      </c>
      <c r="E179" s="30" t="s">
        <v>2020</v>
      </c>
      <c r="F179" s="38" t="s">
        <v>2021</v>
      </c>
      <c r="G179" s="38"/>
      <c r="H179" s="38" t="s">
        <v>2324</v>
      </c>
      <c r="I179" s="38" t="s">
        <v>2015</v>
      </c>
      <c r="J179" s="38" t="s">
        <v>2015</v>
      </c>
      <c r="K179" s="38" t="s">
        <v>2018</v>
      </c>
      <c r="L179" s="38" t="s">
        <v>2017</v>
      </c>
      <c r="M179" s="38" t="s">
        <v>2018</v>
      </c>
      <c r="N179" s="38" t="s">
        <v>2018</v>
      </c>
      <c r="O179" s="38" t="s">
        <v>2015</v>
      </c>
      <c r="P179" s="39">
        <v>255</v>
      </c>
      <c r="Q179" s="39">
        <v>158</v>
      </c>
      <c r="R179" s="39">
        <v>34</v>
      </c>
      <c r="S179" s="39">
        <v>11</v>
      </c>
      <c r="T179" s="39">
        <v>2</v>
      </c>
      <c r="U179" s="39">
        <v>21</v>
      </c>
      <c r="V179" s="39">
        <v>13</v>
      </c>
      <c r="W179" s="39">
        <v>10</v>
      </c>
      <c r="X179" s="39">
        <v>55</v>
      </c>
      <c r="Y179" s="39">
        <v>24</v>
      </c>
      <c r="Z179" s="39">
        <v>12</v>
      </c>
      <c r="AA179" s="39">
        <v>95</v>
      </c>
      <c r="AB179" s="39">
        <v>31</v>
      </c>
      <c r="AC179" s="39">
        <v>6</v>
      </c>
      <c r="AD179" s="39">
        <v>29</v>
      </c>
      <c r="AE179" s="39">
        <v>18</v>
      </c>
      <c r="AF179" s="39">
        <v>14</v>
      </c>
      <c r="AG179" s="39">
        <v>124</v>
      </c>
      <c r="AH179" s="39">
        <v>49</v>
      </c>
      <c r="AI179" s="39">
        <v>20</v>
      </c>
      <c r="AJ179" s="39">
        <v>124</v>
      </c>
      <c r="AK179" s="39">
        <v>272</v>
      </c>
      <c r="AL179" s="39">
        <v>45.6</v>
      </c>
      <c r="AM179" s="36"/>
    </row>
    <row r="180" spans="1:39" s="37" customFormat="1" ht="13.5" customHeight="1">
      <c r="A180" s="30" t="s">
        <v>2272</v>
      </c>
      <c r="B180" s="30" t="s">
        <v>2273</v>
      </c>
      <c r="C180" s="30" t="s">
        <v>235</v>
      </c>
      <c r="D180" s="30" t="s">
        <v>2012</v>
      </c>
      <c r="E180" s="30" t="s">
        <v>2020</v>
      </c>
      <c r="F180" s="38" t="s">
        <v>2021</v>
      </c>
      <c r="G180" s="38"/>
      <c r="H180" s="38" t="s">
        <v>2325</v>
      </c>
      <c r="I180" s="38" t="s">
        <v>2015</v>
      </c>
      <c r="J180" s="38" t="s">
        <v>2015</v>
      </c>
      <c r="K180" s="38" t="s">
        <v>2018</v>
      </c>
      <c r="L180" s="38" t="s">
        <v>2017</v>
      </c>
      <c r="M180" s="38" t="s">
        <v>2018</v>
      </c>
      <c r="N180" s="38" t="s">
        <v>2018</v>
      </c>
      <c r="O180" s="38" t="s">
        <v>2015</v>
      </c>
      <c r="P180" s="39">
        <v>249</v>
      </c>
      <c r="Q180" s="39">
        <v>141</v>
      </c>
      <c r="R180" s="39">
        <v>35</v>
      </c>
      <c r="S180" s="39">
        <v>20</v>
      </c>
      <c r="T180" s="39">
        <v>7</v>
      </c>
      <c r="U180" s="39">
        <v>20</v>
      </c>
      <c r="V180" s="39">
        <v>16</v>
      </c>
      <c r="W180" s="39">
        <v>6</v>
      </c>
      <c r="X180" s="39">
        <v>55</v>
      </c>
      <c r="Y180" s="39">
        <v>36</v>
      </c>
      <c r="Z180" s="39">
        <v>13</v>
      </c>
      <c r="AA180" s="39">
        <v>105</v>
      </c>
      <c r="AB180" s="39">
        <v>60</v>
      </c>
      <c r="AC180" s="39">
        <v>21</v>
      </c>
      <c r="AD180" s="39">
        <v>22</v>
      </c>
      <c r="AE180" s="39">
        <v>18</v>
      </c>
      <c r="AF180" s="39">
        <v>7</v>
      </c>
      <c r="AG180" s="39">
        <v>127</v>
      </c>
      <c r="AH180" s="39">
        <v>78</v>
      </c>
      <c r="AI180" s="39">
        <v>28</v>
      </c>
      <c r="AJ180" s="39">
        <v>127</v>
      </c>
      <c r="AK180" s="39">
        <v>250</v>
      </c>
      <c r="AL180" s="39">
        <v>50.8</v>
      </c>
      <c r="AM180" s="36"/>
    </row>
    <row r="181" spans="1:39" s="37" customFormat="1" ht="13.5" customHeight="1">
      <c r="A181" s="30" t="s">
        <v>2272</v>
      </c>
      <c r="B181" s="30" t="s">
        <v>2273</v>
      </c>
      <c r="C181" s="30" t="s">
        <v>235</v>
      </c>
      <c r="D181" s="30" t="s">
        <v>2012</v>
      </c>
      <c r="E181" s="30" t="s">
        <v>2020</v>
      </c>
      <c r="F181" s="38" t="s">
        <v>2021</v>
      </c>
      <c r="G181" s="38"/>
      <c r="H181" s="38" t="s">
        <v>2326</v>
      </c>
      <c r="I181" s="38" t="s">
        <v>2015</v>
      </c>
      <c r="J181" s="38" t="s">
        <v>2015</v>
      </c>
      <c r="K181" s="38" t="s">
        <v>2018</v>
      </c>
      <c r="L181" s="38" t="s">
        <v>2017</v>
      </c>
      <c r="M181" s="38" t="s">
        <v>2018</v>
      </c>
      <c r="N181" s="38" t="s">
        <v>2018</v>
      </c>
      <c r="O181" s="38" t="s">
        <v>2015</v>
      </c>
      <c r="P181" s="39">
        <v>790</v>
      </c>
      <c r="Q181" s="39">
        <v>420</v>
      </c>
      <c r="R181" s="39">
        <v>112</v>
      </c>
      <c r="S181" s="39">
        <v>57</v>
      </c>
      <c r="T181" s="39">
        <v>13</v>
      </c>
      <c r="U181" s="39">
        <v>91</v>
      </c>
      <c r="V181" s="39">
        <v>68</v>
      </c>
      <c r="W181" s="39">
        <v>41</v>
      </c>
      <c r="X181" s="39">
        <v>203</v>
      </c>
      <c r="Y181" s="39">
        <v>125</v>
      </c>
      <c r="Z181" s="39">
        <v>54</v>
      </c>
      <c r="AA181" s="39">
        <v>336</v>
      </c>
      <c r="AB181" s="39">
        <v>171</v>
      </c>
      <c r="AC181" s="39">
        <v>39</v>
      </c>
      <c r="AD181" s="39">
        <v>109</v>
      </c>
      <c r="AE181" s="39">
        <v>82</v>
      </c>
      <c r="AF181" s="39">
        <v>49</v>
      </c>
      <c r="AG181" s="39">
        <v>445</v>
      </c>
      <c r="AH181" s="39">
        <v>253</v>
      </c>
      <c r="AI181" s="39">
        <v>88</v>
      </c>
      <c r="AJ181" s="39">
        <v>445</v>
      </c>
      <c r="AK181" s="39">
        <v>786</v>
      </c>
      <c r="AL181" s="39">
        <v>56.6</v>
      </c>
      <c r="AM181" s="36"/>
    </row>
    <row r="182" spans="1:39" s="37" customFormat="1" ht="13.5" customHeight="1">
      <c r="A182" s="30" t="s">
        <v>2272</v>
      </c>
      <c r="B182" s="30" t="s">
        <v>2273</v>
      </c>
      <c r="C182" s="30" t="s">
        <v>235</v>
      </c>
      <c r="D182" s="30" t="s">
        <v>2012</v>
      </c>
      <c r="E182" s="30" t="s">
        <v>2020</v>
      </c>
      <c r="F182" s="38" t="s">
        <v>2021</v>
      </c>
      <c r="G182" s="38"/>
      <c r="H182" s="38" t="s">
        <v>2327</v>
      </c>
      <c r="I182" s="38" t="s">
        <v>2015</v>
      </c>
      <c r="J182" s="38" t="s">
        <v>2015</v>
      </c>
      <c r="K182" s="38" t="s">
        <v>2018</v>
      </c>
      <c r="L182" s="38" t="s">
        <v>2017</v>
      </c>
      <c r="M182" s="38" t="s">
        <v>2018</v>
      </c>
      <c r="N182" s="38" t="s">
        <v>2018</v>
      </c>
      <c r="O182" s="38" t="s">
        <v>2015</v>
      </c>
      <c r="P182" s="39">
        <v>63</v>
      </c>
      <c r="Q182" s="39">
        <v>85</v>
      </c>
      <c r="R182" s="39">
        <v>3</v>
      </c>
      <c r="S182" s="39">
        <v>2</v>
      </c>
      <c r="T182" s="39">
        <v>0</v>
      </c>
      <c r="U182" s="39">
        <v>3</v>
      </c>
      <c r="V182" s="39">
        <v>3</v>
      </c>
      <c r="W182" s="39">
        <v>2</v>
      </c>
      <c r="X182" s="39">
        <v>6</v>
      </c>
      <c r="Y182" s="39">
        <v>5</v>
      </c>
      <c r="Z182" s="39">
        <v>2</v>
      </c>
      <c r="AA182" s="39">
        <v>11</v>
      </c>
      <c r="AB182" s="39">
        <v>7</v>
      </c>
      <c r="AC182" s="39">
        <v>0</v>
      </c>
      <c r="AD182" s="39">
        <v>3</v>
      </c>
      <c r="AE182" s="39">
        <v>3</v>
      </c>
      <c r="AF182" s="39">
        <v>2</v>
      </c>
      <c r="AG182" s="39">
        <v>14</v>
      </c>
      <c r="AH182" s="39">
        <v>10</v>
      </c>
      <c r="AI182" s="39">
        <v>2</v>
      </c>
      <c r="AJ182" s="39">
        <v>14</v>
      </c>
      <c r="AK182" s="39">
        <v>58</v>
      </c>
      <c r="AL182" s="39">
        <v>24.1</v>
      </c>
      <c r="AM182" s="36"/>
    </row>
    <row r="183" spans="1:39" s="37" customFormat="1" ht="13.5" customHeight="1">
      <c r="A183" s="30" t="s">
        <v>2272</v>
      </c>
      <c r="B183" s="30" t="s">
        <v>2273</v>
      </c>
      <c r="C183" s="30" t="s">
        <v>235</v>
      </c>
      <c r="D183" s="30" t="s">
        <v>2012</v>
      </c>
      <c r="E183" s="30" t="s">
        <v>2020</v>
      </c>
      <c r="F183" s="38" t="s">
        <v>2021</v>
      </c>
      <c r="G183" s="38"/>
      <c r="H183" s="38" t="s">
        <v>2328</v>
      </c>
      <c r="I183" s="38" t="s">
        <v>2015</v>
      </c>
      <c r="J183" s="38" t="s">
        <v>2015</v>
      </c>
      <c r="K183" s="38" t="s">
        <v>2018</v>
      </c>
      <c r="L183" s="38" t="s">
        <v>2017</v>
      </c>
      <c r="M183" s="38" t="s">
        <v>2018</v>
      </c>
      <c r="N183" s="38" t="s">
        <v>2018</v>
      </c>
      <c r="O183" s="38" t="s">
        <v>2015</v>
      </c>
      <c r="P183" s="39">
        <v>55</v>
      </c>
      <c r="Q183" s="39">
        <v>25</v>
      </c>
      <c r="R183" s="39">
        <v>2</v>
      </c>
      <c r="S183" s="39">
        <v>2</v>
      </c>
      <c r="T183" s="39">
        <v>2</v>
      </c>
      <c r="U183" s="39">
        <v>8</v>
      </c>
      <c r="V183" s="39">
        <v>6</v>
      </c>
      <c r="W183" s="39">
        <v>5</v>
      </c>
      <c r="X183" s="39">
        <v>10</v>
      </c>
      <c r="Y183" s="39">
        <v>8</v>
      </c>
      <c r="Z183" s="39">
        <v>7</v>
      </c>
      <c r="AA183" s="39">
        <v>6</v>
      </c>
      <c r="AB183" s="39">
        <v>6</v>
      </c>
      <c r="AC183" s="39">
        <v>6</v>
      </c>
      <c r="AD183" s="39">
        <v>8</v>
      </c>
      <c r="AE183" s="39">
        <v>6</v>
      </c>
      <c r="AF183" s="39">
        <v>5</v>
      </c>
      <c r="AG183" s="39">
        <v>14</v>
      </c>
      <c r="AH183" s="39">
        <v>12</v>
      </c>
      <c r="AI183" s="39">
        <v>11</v>
      </c>
      <c r="AJ183" s="39">
        <v>14</v>
      </c>
      <c r="AK183" s="39">
        <v>54</v>
      </c>
      <c r="AL183" s="39">
        <v>25.9</v>
      </c>
      <c r="AM183" s="36"/>
    </row>
    <row r="184" spans="1:39" s="37" customFormat="1" ht="13.5" customHeight="1">
      <c r="A184" s="30" t="s">
        <v>2272</v>
      </c>
      <c r="B184" s="30" t="s">
        <v>2273</v>
      </c>
      <c r="C184" s="30" t="s">
        <v>235</v>
      </c>
      <c r="D184" s="30" t="s">
        <v>2012</v>
      </c>
      <c r="E184" s="30" t="s">
        <v>2020</v>
      </c>
      <c r="F184" s="38" t="s">
        <v>2021</v>
      </c>
      <c r="G184" s="38"/>
      <c r="H184" s="38" t="s">
        <v>2329</v>
      </c>
      <c r="I184" s="38" t="s">
        <v>2015</v>
      </c>
      <c r="J184" s="38" t="s">
        <v>2015</v>
      </c>
      <c r="K184" s="38" t="s">
        <v>2018</v>
      </c>
      <c r="L184" s="38" t="s">
        <v>2017</v>
      </c>
      <c r="M184" s="38" t="s">
        <v>2018</v>
      </c>
      <c r="N184" s="38" t="s">
        <v>2018</v>
      </c>
      <c r="O184" s="38" t="s">
        <v>2015</v>
      </c>
      <c r="P184" s="39">
        <v>306</v>
      </c>
      <c r="Q184" s="39">
        <v>121</v>
      </c>
      <c r="R184" s="39">
        <v>35</v>
      </c>
      <c r="S184" s="39">
        <v>12</v>
      </c>
      <c r="T184" s="39">
        <v>5</v>
      </c>
      <c r="U184" s="39">
        <v>18</v>
      </c>
      <c r="V184" s="39">
        <v>14</v>
      </c>
      <c r="W184" s="39">
        <v>5</v>
      </c>
      <c r="X184" s="39">
        <v>53</v>
      </c>
      <c r="Y184" s="39">
        <v>26</v>
      </c>
      <c r="Z184" s="39">
        <v>10</v>
      </c>
      <c r="AA184" s="39">
        <v>105</v>
      </c>
      <c r="AB184" s="39">
        <v>36</v>
      </c>
      <c r="AC184" s="39">
        <v>15</v>
      </c>
      <c r="AD184" s="39">
        <v>20</v>
      </c>
      <c r="AE184" s="39">
        <v>15</v>
      </c>
      <c r="AF184" s="39">
        <v>6</v>
      </c>
      <c r="AG184" s="39">
        <v>125</v>
      </c>
      <c r="AH184" s="39">
        <v>51</v>
      </c>
      <c r="AI184" s="39">
        <v>21</v>
      </c>
      <c r="AJ184" s="39">
        <v>125</v>
      </c>
      <c r="AK184" s="39">
        <v>313</v>
      </c>
      <c r="AL184" s="39">
        <v>39.9</v>
      </c>
      <c r="AM184" s="36"/>
    </row>
    <row r="185" spans="1:39" s="37" customFormat="1" ht="13.5" customHeight="1">
      <c r="A185" s="30" t="s">
        <v>2272</v>
      </c>
      <c r="B185" s="30" t="s">
        <v>2273</v>
      </c>
      <c r="C185" s="30" t="s">
        <v>235</v>
      </c>
      <c r="D185" s="30" t="s">
        <v>2012</v>
      </c>
      <c r="E185" s="30" t="s">
        <v>2020</v>
      </c>
      <c r="F185" s="38" t="s">
        <v>2021</v>
      </c>
      <c r="G185" s="38"/>
      <c r="H185" s="38" t="s">
        <v>2330</v>
      </c>
      <c r="I185" s="38" t="s">
        <v>2015</v>
      </c>
      <c r="J185" s="38" t="s">
        <v>2015</v>
      </c>
      <c r="K185" s="38" t="s">
        <v>2018</v>
      </c>
      <c r="L185" s="38" t="s">
        <v>2017</v>
      </c>
      <c r="M185" s="38" t="s">
        <v>2018</v>
      </c>
      <c r="N185" s="38" t="s">
        <v>2018</v>
      </c>
      <c r="O185" s="38" t="s">
        <v>2015</v>
      </c>
      <c r="P185" s="39">
        <v>523</v>
      </c>
      <c r="Q185" s="39">
        <v>381</v>
      </c>
      <c r="R185" s="39">
        <v>63</v>
      </c>
      <c r="S185" s="39">
        <v>22</v>
      </c>
      <c r="T185" s="39">
        <v>11</v>
      </c>
      <c r="U185" s="39">
        <v>53</v>
      </c>
      <c r="V185" s="39">
        <v>45</v>
      </c>
      <c r="W185" s="39">
        <v>32</v>
      </c>
      <c r="X185" s="39">
        <v>116</v>
      </c>
      <c r="Y185" s="39">
        <v>67</v>
      </c>
      <c r="Z185" s="39">
        <v>43</v>
      </c>
      <c r="AA185" s="39">
        <v>176</v>
      </c>
      <c r="AB185" s="39">
        <v>62</v>
      </c>
      <c r="AC185" s="39">
        <v>31</v>
      </c>
      <c r="AD185" s="39">
        <v>64</v>
      </c>
      <c r="AE185" s="39">
        <v>54</v>
      </c>
      <c r="AF185" s="39">
        <v>38</v>
      </c>
      <c r="AG185" s="39">
        <v>240</v>
      </c>
      <c r="AH185" s="39">
        <v>116</v>
      </c>
      <c r="AI185" s="39">
        <v>69</v>
      </c>
      <c r="AJ185" s="39">
        <v>240</v>
      </c>
      <c r="AK185" s="39">
        <v>528</v>
      </c>
      <c r="AL185" s="39">
        <v>45.5</v>
      </c>
      <c r="AM185" s="36"/>
    </row>
    <row r="186" spans="1:39" s="37" customFormat="1" ht="13.5" customHeight="1">
      <c r="A186" s="30" t="s">
        <v>2272</v>
      </c>
      <c r="B186" s="30" t="s">
        <v>2273</v>
      </c>
      <c r="C186" s="30" t="s">
        <v>235</v>
      </c>
      <c r="D186" s="30" t="s">
        <v>2012</v>
      </c>
      <c r="E186" s="30" t="s">
        <v>2020</v>
      </c>
      <c r="F186" s="38" t="s">
        <v>2021</v>
      </c>
      <c r="G186" s="38"/>
      <c r="H186" s="38" t="s">
        <v>2331</v>
      </c>
      <c r="I186" s="38" t="s">
        <v>2015</v>
      </c>
      <c r="J186" s="38" t="s">
        <v>2015</v>
      </c>
      <c r="K186" s="38" t="s">
        <v>2018</v>
      </c>
      <c r="L186" s="38" t="s">
        <v>2017</v>
      </c>
      <c r="M186" s="38" t="s">
        <v>2018</v>
      </c>
      <c r="N186" s="38" t="s">
        <v>2018</v>
      </c>
      <c r="O186" s="38" t="s">
        <v>2015</v>
      </c>
      <c r="P186" s="39">
        <v>621</v>
      </c>
      <c r="Q186" s="39">
        <v>319</v>
      </c>
      <c r="R186" s="39">
        <v>74</v>
      </c>
      <c r="S186" s="39">
        <v>27</v>
      </c>
      <c r="T186" s="39">
        <v>11</v>
      </c>
      <c r="U186" s="39">
        <v>55</v>
      </c>
      <c r="V186" s="39">
        <v>45</v>
      </c>
      <c r="W186" s="39">
        <v>21</v>
      </c>
      <c r="X186" s="39">
        <v>129</v>
      </c>
      <c r="Y186" s="39">
        <v>72</v>
      </c>
      <c r="Z186" s="39">
        <v>32</v>
      </c>
      <c r="AA186" s="39">
        <v>215</v>
      </c>
      <c r="AB186" s="39">
        <v>78</v>
      </c>
      <c r="AC186" s="39">
        <v>32</v>
      </c>
      <c r="AD186" s="39">
        <v>72</v>
      </c>
      <c r="AE186" s="39">
        <v>59</v>
      </c>
      <c r="AF186" s="39">
        <v>27</v>
      </c>
      <c r="AG186" s="39">
        <v>287</v>
      </c>
      <c r="AH186" s="39">
        <v>137</v>
      </c>
      <c r="AI186" s="39">
        <v>59</v>
      </c>
      <c r="AJ186" s="39">
        <v>287</v>
      </c>
      <c r="AK186" s="39">
        <v>625</v>
      </c>
      <c r="AL186" s="39">
        <v>45.9</v>
      </c>
      <c r="AM186" s="36"/>
    </row>
    <row r="187" spans="1:39" s="37" customFormat="1" ht="13.5" customHeight="1">
      <c r="A187" s="30" t="s">
        <v>2272</v>
      </c>
      <c r="B187" s="30" t="s">
        <v>2273</v>
      </c>
      <c r="C187" s="30" t="s">
        <v>235</v>
      </c>
      <c r="D187" s="30" t="s">
        <v>2012</v>
      </c>
      <c r="E187" s="30" t="s">
        <v>2020</v>
      </c>
      <c r="F187" s="38" t="s">
        <v>2021</v>
      </c>
      <c r="G187" s="38"/>
      <c r="H187" s="38" t="s">
        <v>2332</v>
      </c>
      <c r="I187" s="38" t="s">
        <v>2015</v>
      </c>
      <c r="J187" s="38" t="s">
        <v>2015</v>
      </c>
      <c r="K187" s="38" t="s">
        <v>2018</v>
      </c>
      <c r="L187" s="38" t="s">
        <v>2017</v>
      </c>
      <c r="M187" s="38" t="s">
        <v>2018</v>
      </c>
      <c r="N187" s="38" t="s">
        <v>2018</v>
      </c>
      <c r="O187" s="38" t="s">
        <v>2015</v>
      </c>
      <c r="P187" s="39">
        <v>27</v>
      </c>
      <c r="Q187" s="39">
        <v>313</v>
      </c>
      <c r="R187" s="39">
        <v>5</v>
      </c>
      <c r="S187" s="39">
        <v>0</v>
      </c>
      <c r="T187" s="39">
        <v>0</v>
      </c>
      <c r="U187" s="39">
        <v>2</v>
      </c>
      <c r="V187" s="39">
        <v>0</v>
      </c>
      <c r="W187" s="39">
        <v>0</v>
      </c>
      <c r="X187" s="39">
        <v>7</v>
      </c>
      <c r="Y187" s="39">
        <v>0</v>
      </c>
      <c r="Z187" s="39">
        <v>0</v>
      </c>
      <c r="AA187" s="39">
        <v>11</v>
      </c>
      <c r="AB187" s="39">
        <v>0</v>
      </c>
      <c r="AC187" s="39">
        <v>0</v>
      </c>
      <c r="AD187" s="39">
        <v>2</v>
      </c>
      <c r="AE187" s="39">
        <v>0</v>
      </c>
      <c r="AF187" s="39">
        <v>0</v>
      </c>
      <c r="AG187" s="39">
        <v>13</v>
      </c>
      <c r="AH187" s="39">
        <v>0</v>
      </c>
      <c r="AI187" s="39">
        <v>0</v>
      </c>
      <c r="AJ187" s="39">
        <v>13</v>
      </c>
      <c r="AK187" s="39">
        <v>21</v>
      </c>
      <c r="AL187" s="39">
        <v>61.9</v>
      </c>
      <c r="AM187" s="36"/>
    </row>
    <row r="188" spans="1:39" s="37" customFormat="1" ht="13.5" customHeight="1">
      <c r="A188" s="30" t="s">
        <v>2272</v>
      </c>
      <c r="B188" s="30" t="s">
        <v>2273</v>
      </c>
      <c r="C188" s="30" t="s">
        <v>235</v>
      </c>
      <c r="D188" s="30" t="s">
        <v>2012</v>
      </c>
      <c r="E188" s="30" t="s">
        <v>2020</v>
      </c>
      <c r="F188" s="38" t="s">
        <v>2021</v>
      </c>
      <c r="G188" s="38"/>
      <c r="H188" s="38" t="s">
        <v>2333</v>
      </c>
      <c r="I188" s="38" t="s">
        <v>2015</v>
      </c>
      <c r="J188" s="38" t="s">
        <v>2015</v>
      </c>
      <c r="K188" s="38" t="s">
        <v>2018</v>
      </c>
      <c r="L188" s="38" t="s">
        <v>2017</v>
      </c>
      <c r="M188" s="38" t="s">
        <v>2018</v>
      </c>
      <c r="N188" s="38" t="s">
        <v>2018</v>
      </c>
      <c r="O188" s="38" t="s">
        <v>2015</v>
      </c>
      <c r="P188" s="39">
        <v>732</v>
      </c>
      <c r="Q188" s="39">
        <v>500</v>
      </c>
      <c r="R188" s="39">
        <v>104</v>
      </c>
      <c r="S188" s="39">
        <v>46</v>
      </c>
      <c r="T188" s="39">
        <v>18</v>
      </c>
      <c r="U188" s="39">
        <v>78</v>
      </c>
      <c r="V188" s="39">
        <v>61</v>
      </c>
      <c r="W188" s="39">
        <v>31</v>
      </c>
      <c r="X188" s="39">
        <v>182</v>
      </c>
      <c r="Y188" s="39">
        <v>107</v>
      </c>
      <c r="Z188" s="39">
        <v>49</v>
      </c>
      <c r="AA188" s="39">
        <v>302</v>
      </c>
      <c r="AB188" s="39">
        <v>133</v>
      </c>
      <c r="AC188" s="39">
        <v>52</v>
      </c>
      <c r="AD188" s="39">
        <v>94</v>
      </c>
      <c r="AE188" s="39">
        <v>73</v>
      </c>
      <c r="AF188" s="39">
        <v>37</v>
      </c>
      <c r="AG188" s="39">
        <v>396</v>
      </c>
      <c r="AH188" s="39">
        <v>206</v>
      </c>
      <c r="AI188" s="39">
        <v>89</v>
      </c>
      <c r="AJ188" s="39">
        <v>396</v>
      </c>
      <c r="AK188" s="39">
        <v>734</v>
      </c>
      <c r="AL188" s="39">
        <v>54</v>
      </c>
      <c r="AM188" s="36"/>
    </row>
    <row r="189" spans="1:39" s="37" customFormat="1" ht="13.5" customHeight="1">
      <c r="A189" s="30" t="s">
        <v>2272</v>
      </c>
      <c r="B189" s="30" t="s">
        <v>2273</v>
      </c>
      <c r="C189" s="30" t="s">
        <v>235</v>
      </c>
      <c r="D189" s="30" t="s">
        <v>2012</v>
      </c>
      <c r="E189" s="30" t="s">
        <v>2020</v>
      </c>
      <c r="F189" s="38" t="s">
        <v>2021</v>
      </c>
      <c r="G189" s="38"/>
      <c r="H189" s="38" t="s">
        <v>2334</v>
      </c>
      <c r="I189" s="38" t="s">
        <v>2015</v>
      </c>
      <c r="J189" s="38" t="s">
        <v>2015</v>
      </c>
      <c r="K189" s="38" t="s">
        <v>2018</v>
      </c>
      <c r="L189" s="38" t="s">
        <v>2017</v>
      </c>
      <c r="M189" s="38" t="s">
        <v>2018</v>
      </c>
      <c r="N189" s="38" t="s">
        <v>2018</v>
      </c>
      <c r="O189" s="38" t="s">
        <v>2015</v>
      </c>
      <c r="P189" s="39">
        <v>145</v>
      </c>
      <c r="Q189" s="39">
        <v>270</v>
      </c>
      <c r="R189" s="39">
        <v>24</v>
      </c>
      <c r="S189" s="39">
        <v>15</v>
      </c>
      <c r="T189" s="39">
        <v>5</v>
      </c>
      <c r="U189" s="39">
        <v>16</v>
      </c>
      <c r="V189" s="39">
        <v>16</v>
      </c>
      <c r="W189" s="39">
        <v>10</v>
      </c>
      <c r="X189" s="39">
        <v>40</v>
      </c>
      <c r="Y189" s="39">
        <v>31</v>
      </c>
      <c r="Z189" s="39">
        <v>15</v>
      </c>
      <c r="AA189" s="39">
        <v>72</v>
      </c>
      <c r="AB189" s="39">
        <v>45</v>
      </c>
      <c r="AC189" s="39">
        <v>15</v>
      </c>
      <c r="AD189" s="39">
        <v>21</v>
      </c>
      <c r="AE189" s="39">
        <v>21</v>
      </c>
      <c r="AF189" s="39">
        <v>13</v>
      </c>
      <c r="AG189" s="39">
        <v>93</v>
      </c>
      <c r="AH189" s="39">
        <v>66</v>
      </c>
      <c r="AI189" s="39">
        <v>28</v>
      </c>
      <c r="AJ189" s="39">
        <v>93</v>
      </c>
      <c r="AK189" s="39">
        <v>161</v>
      </c>
      <c r="AL189" s="39">
        <v>57.8</v>
      </c>
      <c r="AM189" s="36"/>
    </row>
    <row r="190" spans="1:39" s="37" customFormat="1" ht="13.5" customHeight="1">
      <c r="A190" s="30" t="s">
        <v>2272</v>
      </c>
      <c r="B190" s="30" t="s">
        <v>2273</v>
      </c>
      <c r="C190" s="30" t="s">
        <v>235</v>
      </c>
      <c r="D190" s="30" t="s">
        <v>2012</v>
      </c>
      <c r="E190" s="30" t="s">
        <v>2020</v>
      </c>
      <c r="F190" s="38" t="s">
        <v>2021</v>
      </c>
      <c r="G190" s="38"/>
      <c r="H190" s="38" t="s">
        <v>2335</v>
      </c>
      <c r="I190" s="38" t="s">
        <v>2015</v>
      </c>
      <c r="J190" s="38" t="s">
        <v>2015</v>
      </c>
      <c r="K190" s="38" t="s">
        <v>2018</v>
      </c>
      <c r="L190" s="38" t="s">
        <v>2017</v>
      </c>
      <c r="M190" s="38" t="s">
        <v>2018</v>
      </c>
      <c r="N190" s="38" t="s">
        <v>2018</v>
      </c>
      <c r="O190" s="38" t="s">
        <v>2015</v>
      </c>
      <c r="P190" s="39">
        <v>56</v>
      </c>
      <c r="Q190" s="39">
        <v>83</v>
      </c>
      <c r="R190" s="39">
        <v>7</v>
      </c>
      <c r="S190" s="39">
        <v>5</v>
      </c>
      <c r="T190" s="39">
        <v>4</v>
      </c>
      <c r="U190" s="39">
        <v>5</v>
      </c>
      <c r="V190" s="39">
        <v>3</v>
      </c>
      <c r="W190" s="39">
        <v>2</v>
      </c>
      <c r="X190" s="39">
        <v>12</v>
      </c>
      <c r="Y190" s="39">
        <v>8</v>
      </c>
      <c r="Z190" s="39">
        <v>6</v>
      </c>
      <c r="AA190" s="39">
        <v>13</v>
      </c>
      <c r="AB190" s="39">
        <v>10</v>
      </c>
      <c r="AC190" s="39">
        <v>8</v>
      </c>
      <c r="AD190" s="39">
        <v>7</v>
      </c>
      <c r="AE190" s="39">
        <v>4</v>
      </c>
      <c r="AF190" s="39">
        <v>3</v>
      </c>
      <c r="AG190" s="39">
        <v>20</v>
      </c>
      <c r="AH190" s="39">
        <v>14</v>
      </c>
      <c r="AI190" s="39">
        <v>11</v>
      </c>
      <c r="AJ190" s="39">
        <v>20</v>
      </c>
      <c r="AK190" s="39">
        <v>51</v>
      </c>
      <c r="AL190" s="39">
        <v>39.200000000000003</v>
      </c>
      <c r="AM190" s="36"/>
    </row>
    <row r="191" spans="1:39" s="37" customFormat="1" ht="13.5" customHeight="1">
      <c r="A191" s="30" t="s">
        <v>2272</v>
      </c>
      <c r="B191" s="30" t="s">
        <v>2273</v>
      </c>
      <c r="C191" s="30" t="s">
        <v>235</v>
      </c>
      <c r="D191" s="30" t="s">
        <v>2012</v>
      </c>
      <c r="E191" s="30" t="s">
        <v>2020</v>
      </c>
      <c r="F191" s="38" t="s">
        <v>2021</v>
      </c>
      <c r="G191" s="38"/>
      <c r="H191" s="38" t="s">
        <v>2336</v>
      </c>
      <c r="I191" s="38" t="s">
        <v>2015</v>
      </c>
      <c r="J191" s="38" t="s">
        <v>2015</v>
      </c>
      <c r="K191" s="38" t="s">
        <v>2018</v>
      </c>
      <c r="L191" s="38" t="s">
        <v>2017</v>
      </c>
      <c r="M191" s="38" t="s">
        <v>2018</v>
      </c>
      <c r="N191" s="38" t="s">
        <v>2018</v>
      </c>
      <c r="O191" s="38" t="s">
        <v>2015</v>
      </c>
      <c r="P191" s="39">
        <v>0</v>
      </c>
      <c r="Q191" s="39">
        <v>0</v>
      </c>
      <c r="R191" s="39">
        <v>0</v>
      </c>
      <c r="S191" s="39">
        <v>0</v>
      </c>
      <c r="T191" s="39">
        <v>0</v>
      </c>
      <c r="U191" s="39">
        <v>0</v>
      </c>
      <c r="V191" s="39">
        <v>0</v>
      </c>
      <c r="W191" s="39">
        <v>0</v>
      </c>
      <c r="X191" s="39">
        <v>0</v>
      </c>
      <c r="Y191" s="39">
        <v>0</v>
      </c>
      <c r="Z191" s="39">
        <v>0</v>
      </c>
      <c r="AA191" s="39">
        <v>0</v>
      </c>
      <c r="AB191" s="39">
        <v>0</v>
      </c>
      <c r="AC191" s="39">
        <v>0</v>
      </c>
      <c r="AD191" s="39">
        <v>0</v>
      </c>
      <c r="AE191" s="39">
        <v>0</v>
      </c>
      <c r="AF191" s="39">
        <v>0</v>
      </c>
      <c r="AG191" s="39">
        <v>0</v>
      </c>
      <c r="AH191" s="39">
        <v>0</v>
      </c>
      <c r="AI191" s="39">
        <v>0</v>
      </c>
      <c r="AJ191" s="39">
        <v>0</v>
      </c>
      <c r="AK191" s="39">
        <v>0</v>
      </c>
      <c r="AL191" s="39">
        <v>0</v>
      </c>
      <c r="AM191" s="36"/>
    </row>
    <row r="192" spans="1:39" s="37" customFormat="1" ht="13.5" customHeight="1">
      <c r="A192" s="30" t="s">
        <v>2272</v>
      </c>
      <c r="B192" s="30" t="s">
        <v>2273</v>
      </c>
      <c r="C192" s="30" t="s">
        <v>235</v>
      </c>
      <c r="D192" s="30" t="s">
        <v>2012</v>
      </c>
      <c r="E192" s="30" t="s">
        <v>2020</v>
      </c>
      <c r="F192" s="38" t="s">
        <v>2021</v>
      </c>
      <c r="G192" s="38"/>
      <c r="H192" s="38" t="s">
        <v>2337</v>
      </c>
      <c r="I192" s="38" t="s">
        <v>2015</v>
      </c>
      <c r="J192" s="38" t="s">
        <v>2015</v>
      </c>
      <c r="K192" s="38" t="s">
        <v>2018</v>
      </c>
      <c r="L192" s="38" t="s">
        <v>2017</v>
      </c>
      <c r="M192" s="38" t="s">
        <v>2018</v>
      </c>
      <c r="N192" s="38" t="s">
        <v>2018</v>
      </c>
      <c r="O192" s="38" t="s">
        <v>2015</v>
      </c>
      <c r="P192" s="39">
        <v>434</v>
      </c>
      <c r="Q192" s="39">
        <v>177</v>
      </c>
      <c r="R192" s="39">
        <v>61</v>
      </c>
      <c r="S192" s="39">
        <v>31</v>
      </c>
      <c r="T192" s="39">
        <v>13</v>
      </c>
      <c r="U192" s="39">
        <v>34</v>
      </c>
      <c r="V192" s="39">
        <v>20</v>
      </c>
      <c r="W192" s="39">
        <v>15</v>
      </c>
      <c r="X192" s="39">
        <v>95</v>
      </c>
      <c r="Y192" s="39">
        <v>51</v>
      </c>
      <c r="Z192" s="39">
        <v>28</v>
      </c>
      <c r="AA192" s="39">
        <v>195</v>
      </c>
      <c r="AB192" s="39">
        <v>99</v>
      </c>
      <c r="AC192" s="39">
        <v>42</v>
      </c>
      <c r="AD192" s="39">
        <v>48</v>
      </c>
      <c r="AE192" s="39">
        <v>28</v>
      </c>
      <c r="AF192" s="39">
        <v>21</v>
      </c>
      <c r="AG192" s="39">
        <v>243</v>
      </c>
      <c r="AH192" s="39">
        <v>127</v>
      </c>
      <c r="AI192" s="39">
        <v>63</v>
      </c>
      <c r="AJ192" s="39">
        <v>243</v>
      </c>
      <c r="AK192" s="39">
        <v>434</v>
      </c>
      <c r="AL192" s="39">
        <v>56</v>
      </c>
      <c r="AM192" s="36"/>
    </row>
    <row r="193" spans="1:39" s="37" customFormat="1" ht="13.5" customHeight="1">
      <c r="A193" s="30" t="s">
        <v>2272</v>
      </c>
      <c r="B193" s="30" t="s">
        <v>2273</v>
      </c>
      <c r="C193" s="30" t="s">
        <v>235</v>
      </c>
      <c r="D193" s="30" t="s">
        <v>2012</v>
      </c>
      <c r="E193" s="30" t="s">
        <v>2020</v>
      </c>
      <c r="F193" s="38" t="s">
        <v>2021</v>
      </c>
      <c r="G193" s="38"/>
      <c r="H193" s="38" t="s">
        <v>2338</v>
      </c>
      <c r="I193" s="38" t="s">
        <v>2015</v>
      </c>
      <c r="J193" s="38" t="s">
        <v>2015</v>
      </c>
      <c r="K193" s="38" t="s">
        <v>2018</v>
      </c>
      <c r="L193" s="38" t="s">
        <v>2017</v>
      </c>
      <c r="M193" s="38" t="s">
        <v>2018</v>
      </c>
      <c r="N193" s="38" t="s">
        <v>2018</v>
      </c>
      <c r="O193" s="38" t="s">
        <v>2015</v>
      </c>
      <c r="P193" s="39">
        <v>390</v>
      </c>
      <c r="Q193" s="39">
        <v>485</v>
      </c>
      <c r="R193" s="39">
        <v>43</v>
      </c>
      <c r="S193" s="39">
        <v>23</v>
      </c>
      <c r="T193" s="39">
        <v>11</v>
      </c>
      <c r="U193" s="39">
        <v>35</v>
      </c>
      <c r="V193" s="39">
        <v>23</v>
      </c>
      <c r="W193" s="39">
        <v>10</v>
      </c>
      <c r="X193" s="39">
        <v>78</v>
      </c>
      <c r="Y193" s="39">
        <v>46</v>
      </c>
      <c r="Z193" s="39">
        <v>21</v>
      </c>
      <c r="AA193" s="39">
        <v>103</v>
      </c>
      <c r="AB193" s="39">
        <v>55</v>
      </c>
      <c r="AC193" s="39">
        <v>26</v>
      </c>
      <c r="AD193" s="39">
        <v>42</v>
      </c>
      <c r="AE193" s="39">
        <v>28</v>
      </c>
      <c r="AF193" s="39">
        <v>12</v>
      </c>
      <c r="AG193" s="39">
        <v>145</v>
      </c>
      <c r="AH193" s="39">
        <v>83</v>
      </c>
      <c r="AI193" s="39">
        <v>38</v>
      </c>
      <c r="AJ193" s="39">
        <v>145</v>
      </c>
      <c r="AK193" s="39">
        <v>352</v>
      </c>
      <c r="AL193" s="39">
        <v>41.2</v>
      </c>
      <c r="AM193" s="36"/>
    </row>
    <row r="194" spans="1:39" s="37" customFormat="1" ht="13.5" customHeight="1">
      <c r="A194" s="30" t="s">
        <v>2272</v>
      </c>
      <c r="B194" s="30" t="s">
        <v>2273</v>
      </c>
      <c r="C194" s="30" t="s">
        <v>235</v>
      </c>
      <c r="D194" s="30" t="s">
        <v>2012</v>
      </c>
      <c r="E194" s="30" t="s">
        <v>2020</v>
      </c>
      <c r="F194" s="38" t="s">
        <v>2021</v>
      </c>
      <c r="G194" s="38"/>
      <c r="H194" s="38" t="s">
        <v>2211</v>
      </c>
      <c r="I194" s="38" t="s">
        <v>2015</v>
      </c>
      <c r="J194" s="38" t="s">
        <v>2015</v>
      </c>
      <c r="K194" s="38" t="s">
        <v>2018</v>
      </c>
      <c r="L194" s="38" t="s">
        <v>2017</v>
      </c>
      <c r="M194" s="38" t="s">
        <v>2018</v>
      </c>
      <c r="N194" s="38" t="s">
        <v>2018</v>
      </c>
      <c r="O194" s="38" t="s">
        <v>2015</v>
      </c>
      <c r="P194" s="39">
        <v>9511</v>
      </c>
      <c r="Q194" s="39">
        <v>4405</v>
      </c>
      <c r="R194" s="39">
        <v>915</v>
      </c>
      <c r="S194" s="39">
        <v>445</v>
      </c>
      <c r="T194" s="39">
        <v>199</v>
      </c>
      <c r="U194" s="39">
        <v>1108</v>
      </c>
      <c r="V194" s="39">
        <v>783</v>
      </c>
      <c r="W194" s="39">
        <v>542</v>
      </c>
      <c r="X194" s="39">
        <v>2023</v>
      </c>
      <c r="Y194" s="39">
        <v>1228</v>
      </c>
      <c r="Z194" s="39">
        <v>741</v>
      </c>
      <c r="AA194" s="39">
        <v>2683</v>
      </c>
      <c r="AB194" s="39">
        <v>1314</v>
      </c>
      <c r="AC194" s="39">
        <v>594</v>
      </c>
      <c r="AD194" s="39">
        <v>1306</v>
      </c>
      <c r="AE194" s="39">
        <v>917</v>
      </c>
      <c r="AF194" s="39">
        <v>631</v>
      </c>
      <c r="AG194" s="39">
        <v>3989</v>
      </c>
      <c r="AH194" s="39">
        <v>2231</v>
      </c>
      <c r="AI194" s="39">
        <v>1225</v>
      </c>
      <c r="AJ194" s="39">
        <v>3989</v>
      </c>
      <c r="AK194" s="39">
        <v>8935</v>
      </c>
      <c r="AL194" s="39">
        <v>44.6</v>
      </c>
      <c r="AM194" s="36"/>
    </row>
    <row r="195" spans="1:39" s="37" customFormat="1" ht="13.5" customHeight="1">
      <c r="A195" s="30" t="s">
        <v>2272</v>
      </c>
      <c r="B195" s="30" t="s">
        <v>2273</v>
      </c>
      <c r="C195" s="30" t="s">
        <v>235</v>
      </c>
      <c r="D195" s="30" t="s">
        <v>2012</v>
      </c>
      <c r="E195" s="30" t="s">
        <v>2020</v>
      </c>
      <c r="F195" s="38" t="s">
        <v>2021</v>
      </c>
      <c r="G195" s="38"/>
      <c r="H195" s="38" t="s">
        <v>2339</v>
      </c>
      <c r="I195" s="38" t="s">
        <v>2015</v>
      </c>
      <c r="J195" s="38" t="s">
        <v>2015</v>
      </c>
      <c r="K195" s="38" t="s">
        <v>2018</v>
      </c>
      <c r="L195" s="38" t="s">
        <v>2017</v>
      </c>
      <c r="M195" s="38" t="s">
        <v>2018</v>
      </c>
      <c r="N195" s="38" t="s">
        <v>2018</v>
      </c>
      <c r="O195" s="38" t="s">
        <v>2015</v>
      </c>
      <c r="P195" s="39">
        <v>207</v>
      </c>
      <c r="Q195" s="39">
        <v>108</v>
      </c>
      <c r="R195" s="39">
        <v>37</v>
      </c>
      <c r="S195" s="39">
        <v>23</v>
      </c>
      <c r="T195" s="39">
        <v>11</v>
      </c>
      <c r="U195" s="39">
        <v>11</v>
      </c>
      <c r="V195" s="39">
        <v>8</v>
      </c>
      <c r="W195" s="39">
        <v>4</v>
      </c>
      <c r="X195" s="39">
        <v>48</v>
      </c>
      <c r="Y195" s="39">
        <v>31</v>
      </c>
      <c r="Z195" s="39">
        <v>15</v>
      </c>
      <c r="AA195" s="39">
        <v>126</v>
      </c>
      <c r="AB195" s="39">
        <v>78</v>
      </c>
      <c r="AC195" s="39">
        <v>37</v>
      </c>
      <c r="AD195" s="39">
        <v>15</v>
      </c>
      <c r="AE195" s="39">
        <v>11</v>
      </c>
      <c r="AF195" s="39">
        <v>6</v>
      </c>
      <c r="AG195" s="39">
        <v>141</v>
      </c>
      <c r="AH195" s="39">
        <v>89</v>
      </c>
      <c r="AI195" s="39">
        <v>43</v>
      </c>
      <c r="AJ195" s="39">
        <v>141</v>
      </c>
      <c r="AK195" s="39">
        <v>225</v>
      </c>
      <c r="AL195" s="39">
        <v>62.7</v>
      </c>
      <c r="AM195" s="36"/>
    </row>
    <row r="196" spans="1:39" s="37" customFormat="1" ht="13.5" customHeight="1">
      <c r="A196" s="30" t="s">
        <v>2272</v>
      </c>
      <c r="B196" s="30" t="s">
        <v>2273</v>
      </c>
      <c r="C196" s="30" t="s">
        <v>235</v>
      </c>
      <c r="D196" s="30" t="s">
        <v>2012</v>
      </c>
      <c r="E196" s="30" t="s">
        <v>2020</v>
      </c>
      <c r="F196" s="38" t="s">
        <v>2021</v>
      </c>
      <c r="G196" s="38"/>
      <c r="H196" s="38" t="s">
        <v>2340</v>
      </c>
      <c r="I196" s="38" t="s">
        <v>2015</v>
      </c>
      <c r="J196" s="38" t="s">
        <v>2015</v>
      </c>
      <c r="K196" s="38" t="s">
        <v>2018</v>
      </c>
      <c r="L196" s="38" t="s">
        <v>2017</v>
      </c>
      <c r="M196" s="38" t="s">
        <v>2018</v>
      </c>
      <c r="N196" s="38" t="s">
        <v>2018</v>
      </c>
      <c r="O196" s="38" t="s">
        <v>2015</v>
      </c>
      <c r="P196" s="39">
        <v>802</v>
      </c>
      <c r="Q196" s="39">
        <v>460</v>
      </c>
      <c r="R196" s="39">
        <v>92</v>
      </c>
      <c r="S196" s="39">
        <v>51</v>
      </c>
      <c r="T196" s="39">
        <v>18</v>
      </c>
      <c r="U196" s="39">
        <v>78</v>
      </c>
      <c r="V196" s="39">
        <v>62</v>
      </c>
      <c r="W196" s="39">
        <v>35</v>
      </c>
      <c r="X196" s="39">
        <v>170</v>
      </c>
      <c r="Y196" s="39">
        <v>113</v>
      </c>
      <c r="Z196" s="39">
        <v>53</v>
      </c>
      <c r="AA196" s="39">
        <v>258</v>
      </c>
      <c r="AB196" s="39">
        <v>143</v>
      </c>
      <c r="AC196" s="39">
        <v>50</v>
      </c>
      <c r="AD196" s="39">
        <v>94</v>
      </c>
      <c r="AE196" s="39">
        <v>74</v>
      </c>
      <c r="AF196" s="39">
        <v>42</v>
      </c>
      <c r="AG196" s="39">
        <v>352</v>
      </c>
      <c r="AH196" s="39">
        <v>217</v>
      </c>
      <c r="AI196" s="39">
        <v>92</v>
      </c>
      <c r="AJ196" s="39">
        <v>352</v>
      </c>
      <c r="AK196" s="39">
        <v>797</v>
      </c>
      <c r="AL196" s="39">
        <v>44.2</v>
      </c>
      <c r="AM196" s="36"/>
    </row>
    <row r="197" spans="1:39" s="37" customFormat="1" ht="13.5" customHeight="1">
      <c r="A197" s="30" t="s">
        <v>2272</v>
      </c>
      <c r="B197" s="30" t="s">
        <v>2273</v>
      </c>
      <c r="C197" s="30" t="s">
        <v>235</v>
      </c>
      <c r="D197" s="30" t="s">
        <v>2012</v>
      </c>
      <c r="E197" s="30" t="s">
        <v>2020</v>
      </c>
      <c r="F197" s="38" t="s">
        <v>2021</v>
      </c>
      <c r="G197" s="38"/>
      <c r="H197" s="38" t="s">
        <v>2341</v>
      </c>
      <c r="I197" s="38" t="s">
        <v>2015</v>
      </c>
      <c r="J197" s="38" t="s">
        <v>2015</v>
      </c>
      <c r="K197" s="38" t="s">
        <v>2018</v>
      </c>
      <c r="L197" s="38" t="s">
        <v>2017</v>
      </c>
      <c r="M197" s="38" t="s">
        <v>2018</v>
      </c>
      <c r="N197" s="38" t="s">
        <v>2018</v>
      </c>
      <c r="O197" s="38" t="s">
        <v>2015</v>
      </c>
      <c r="P197" s="39">
        <v>577</v>
      </c>
      <c r="Q197" s="39">
        <v>336</v>
      </c>
      <c r="R197" s="39">
        <v>80</v>
      </c>
      <c r="S197" s="39">
        <v>44</v>
      </c>
      <c r="T197" s="39">
        <v>10</v>
      </c>
      <c r="U197" s="39">
        <v>58</v>
      </c>
      <c r="V197" s="39">
        <v>40</v>
      </c>
      <c r="W197" s="39">
        <v>31</v>
      </c>
      <c r="X197" s="39">
        <v>138</v>
      </c>
      <c r="Y197" s="39">
        <v>84</v>
      </c>
      <c r="Z197" s="39">
        <v>41</v>
      </c>
      <c r="AA197" s="39">
        <v>224</v>
      </c>
      <c r="AB197" s="39">
        <v>123</v>
      </c>
      <c r="AC197" s="39">
        <v>28</v>
      </c>
      <c r="AD197" s="39">
        <v>58</v>
      </c>
      <c r="AE197" s="39">
        <v>40</v>
      </c>
      <c r="AF197" s="39">
        <v>31</v>
      </c>
      <c r="AG197" s="39">
        <v>282</v>
      </c>
      <c r="AH197" s="39">
        <v>163</v>
      </c>
      <c r="AI197" s="39">
        <v>59</v>
      </c>
      <c r="AJ197" s="39">
        <v>282</v>
      </c>
      <c r="AK197" s="39">
        <v>584</v>
      </c>
      <c r="AL197" s="39">
        <v>48.3</v>
      </c>
      <c r="AM197" s="36"/>
    </row>
    <row r="198" spans="1:39" s="37" customFormat="1" ht="13.5" customHeight="1">
      <c r="A198" s="30" t="s">
        <v>2272</v>
      </c>
      <c r="B198" s="30" t="s">
        <v>2273</v>
      </c>
      <c r="C198" s="30" t="s">
        <v>235</v>
      </c>
      <c r="D198" s="30" t="s">
        <v>2012</v>
      </c>
      <c r="E198" s="30" t="s">
        <v>2020</v>
      </c>
      <c r="F198" s="38" t="s">
        <v>2021</v>
      </c>
      <c r="G198" s="38"/>
      <c r="H198" s="38" t="s">
        <v>2342</v>
      </c>
      <c r="I198" s="38" t="s">
        <v>2015</v>
      </c>
      <c r="J198" s="38" t="s">
        <v>2015</v>
      </c>
      <c r="K198" s="38" t="s">
        <v>2018</v>
      </c>
      <c r="L198" s="38" t="s">
        <v>2017</v>
      </c>
      <c r="M198" s="38" t="s">
        <v>2018</v>
      </c>
      <c r="N198" s="38" t="s">
        <v>2018</v>
      </c>
      <c r="O198" s="38" t="s">
        <v>2015</v>
      </c>
      <c r="P198" s="39">
        <v>282</v>
      </c>
      <c r="Q198" s="39">
        <v>147</v>
      </c>
      <c r="R198" s="39">
        <v>34</v>
      </c>
      <c r="S198" s="39">
        <v>14</v>
      </c>
      <c r="T198" s="39">
        <v>7</v>
      </c>
      <c r="U198" s="39">
        <v>25</v>
      </c>
      <c r="V198" s="39">
        <v>23</v>
      </c>
      <c r="W198" s="39">
        <v>17</v>
      </c>
      <c r="X198" s="39">
        <v>59</v>
      </c>
      <c r="Y198" s="39">
        <v>37</v>
      </c>
      <c r="Z198" s="39">
        <v>24</v>
      </c>
      <c r="AA198" s="39">
        <v>109</v>
      </c>
      <c r="AB198" s="39">
        <v>45</v>
      </c>
      <c r="AC198" s="39">
        <v>22</v>
      </c>
      <c r="AD198" s="39">
        <v>33</v>
      </c>
      <c r="AE198" s="39">
        <v>30</v>
      </c>
      <c r="AF198" s="39">
        <v>22</v>
      </c>
      <c r="AG198" s="39">
        <v>142</v>
      </c>
      <c r="AH198" s="39">
        <v>75</v>
      </c>
      <c r="AI198" s="39">
        <v>44</v>
      </c>
      <c r="AJ198" s="39">
        <v>142</v>
      </c>
      <c r="AK198" s="39">
        <v>281</v>
      </c>
      <c r="AL198" s="39">
        <v>50.5</v>
      </c>
      <c r="AM198" s="36"/>
    </row>
    <row r="199" spans="1:39" s="37" customFormat="1" ht="13.5" customHeight="1">
      <c r="A199" s="30" t="s">
        <v>2272</v>
      </c>
      <c r="B199" s="30" t="s">
        <v>2273</v>
      </c>
      <c r="C199" s="30" t="s">
        <v>235</v>
      </c>
      <c r="D199" s="30" t="s">
        <v>2012</v>
      </c>
      <c r="E199" s="30" t="s">
        <v>2020</v>
      </c>
      <c r="F199" s="38" t="s">
        <v>2021</v>
      </c>
      <c r="G199" s="38"/>
      <c r="H199" s="38" t="s">
        <v>2343</v>
      </c>
      <c r="I199" s="38" t="s">
        <v>2015</v>
      </c>
      <c r="J199" s="38" t="s">
        <v>2015</v>
      </c>
      <c r="K199" s="38" t="s">
        <v>2018</v>
      </c>
      <c r="L199" s="38" t="s">
        <v>2017</v>
      </c>
      <c r="M199" s="38" t="s">
        <v>2018</v>
      </c>
      <c r="N199" s="38" t="s">
        <v>2018</v>
      </c>
      <c r="O199" s="38" t="s">
        <v>2015</v>
      </c>
      <c r="P199" s="39">
        <v>937</v>
      </c>
      <c r="Q199" s="39">
        <v>449</v>
      </c>
      <c r="R199" s="39">
        <v>131</v>
      </c>
      <c r="S199" s="39">
        <v>71</v>
      </c>
      <c r="T199" s="39">
        <v>33</v>
      </c>
      <c r="U199" s="39">
        <v>70</v>
      </c>
      <c r="V199" s="39">
        <v>57</v>
      </c>
      <c r="W199" s="39">
        <v>39</v>
      </c>
      <c r="X199" s="39">
        <v>201</v>
      </c>
      <c r="Y199" s="39">
        <v>128</v>
      </c>
      <c r="Z199" s="39">
        <v>72</v>
      </c>
      <c r="AA199" s="39">
        <v>380</v>
      </c>
      <c r="AB199" s="39">
        <v>206</v>
      </c>
      <c r="AC199" s="39">
        <v>96</v>
      </c>
      <c r="AD199" s="39">
        <v>77</v>
      </c>
      <c r="AE199" s="39">
        <v>63</v>
      </c>
      <c r="AF199" s="39">
        <v>43</v>
      </c>
      <c r="AG199" s="39">
        <v>457</v>
      </c>
      <c r="AH199" s="39">
        <v>269</v>
      </c>
      <c r="AI199" s="39">
        <v>139</v>
      </c>
      <c r="AJ199" s="39">
        <v>457</v>
      </c>
      <c r="AK199" s="39">
        <v>937</v>
      </c>
      <c r="AL199" s="39">
        <v>48.8</v>
      </c>
      <c r="AM199" s="36"/>
    </row>
    <row r="200" spans="1:39" s="37" customFormat="1" ht="13.5" customHeight="1">
      <c r="A200" s="30" t="s">
        <v>2272</v>
      </c>
      <c r="B200" s="30" t="s">
        <v>2273</v>
      </c>
      <c r="C200" s="30" t="s">
        <v>235</v>
      </c>
      <c r="D200" s="30" t="s">
        <v>2012</v>
      </c>
      <c r="E200" s="30" t="s">
        <v>2020</v>
      </c>
      <c r="F200" s="38" t="s">
        <v>2021</v>
      </c>
      <c r="G200" s="38"/>
      <c r="H200" s="38" t="s">
        <v>2344</v>
      </c>
      <c r="I200" s="38" t="s">
        <v>2015</v>
      </c>
      <c r="J200" s="38" t="s">
        <v>2015</v>
      </c>
      <c r="K200" s="38" t="s">
        <v>2018</v>
      </c>
      <c r="L200" s="38" t="s">
        <v>2017</v>
      </c>
      <c r="M200" s="38" t="s">
        <v>2018</v>
      </c>
      <c r="N200" s="38" t="s">
        <v>2018</v>
      </c>
      <c r="O200" s="38" t="s">
        <v>2015</v>
      </c>
      <c r="P200" s="39">
        <v>415</v>
      </c>
      <c r="Q200" s="39">
        <v>184</v>
      </c>
      <c r="R200" s="39">
        <v>64</v>
      </c>
      <c r="S200" s="39">
        <v>41</v>
      </c>
      <c r="T200" s="39">
        <v>22</v>
      </c>
      <c r="U200" s="39">
        <v>31</v>
      </c>
      <c r="V200" s="39">
        <v>27</v>
      </c>
      <c r="W200" s="39">
        <v>16</v>
      </c>
      <c r="X200" s="39">
        <v>95</v>
      </c>
      <c r="Y200" s="39">
        <v>68</v>
      </c>
      <c r="Z200" s="39">
        <v>38</v>
      </c>
      <c r="AA200" s="39">
        <v>218</v>
      </c>
      <c r="AB200" s="39">
        <v>139</v>
      </c>
      <c r="AC200" s="39">
        <v>75</v>
      </c>
      <c r="AD200" s="39">
        <v>37</v>
      </c>
      <c r="AE200" s="39">
        <v>32</v>
      </c>
      <c r="AF200" s="39">
        <v>19</v>
      </c>
      <c r="AG200" s="39">
        <v>255</v>
      </c>
      <c r="AH200" s="39">
        <v>171</v>
      </c>
      <c r="AI200" s="39">
        <v>94</v>
      </c>
      <c r="AJ200" s="39">
        <v>255</v>
      </c>
      <c r="AK200" s="39">
        <v>423</v>
      </c>
      <c r="AL200" s="39">
        <v>60.3</v>
      </c>
      <c r="AM200" s="36"/>
    </row>
    <row r="201" spans="1:39" s="37" customFormat="1" ht="13.5" customHeight="1">
      <c r="A201" s="30" t="s">
        <v>2272</v>
      </c>
      <c r="B201" s="30" t="s">
        <v>2273</v>
      </c>
      <c r="C201" s="30" t="s">
        <v>235</v>
      </c>
      <c r="D201" s="30" t="s">
        <v>2012</v>
      </c>
      <c r="E201" s="30" t="s">
        <v>2020</v>
      </c>
      <c r="F201" s="38" t="s">
        <v>2021</v>
      </c>
      <c r="G201" s="38"/>
      <c r="H201" s="38" t="s">
        <v>2345</v>
      </c>
      <c r="I201" s="38" t="s">
        <v>2015</v>
      </c>
      <c r="J201" s="38" t="s">
        <v>2015</v>
      </c>
      <c r="K201" s="38" t="s">
        <v>2018</v>
      </c>
      <c r="L201" s="38" t="s">
        <v>2017</v>
      </c>
      <c r="M201" s="38" t="s">
        <v>2018</v>
      </c>
      <c r="N201" s="38" t="s">
        <v>2018</v>
      </c>
      <c r="O201" s="38" t="s">
        <v>2015</v>
      </c>
      <c r="P201" s="39">
        <v>486</v>
      </c>
      <c r="Q201" s="39">
        <v>471</v>
      </c>
      <c r="R201" s="39">
        <v>56</v>
      </c>
      <c r="S201" s="39">
        <v>29</v>
      </c>
      <c r="T201" s="39">
        <v>12</v>
      </c>
      <c r="U201" s="39">
        <v>46</v>
      </c>
      <c r="V201" s="39">
        <v>31</v>
      </c>
      <c r="W201" s="39">
        <v>14</v>
      </c>
      <c r="X201" s="39">
        <v>102</v>
      </c>
      <c r="Y201" s="39">
        <v>60</v>
      </c>
      <c r="Z201" s="39">
        <v>26</v>
      </c>
      <c r="AA201" s="39">
        <v>168</v>
      </c>
      <c r="AB201" s="39">
        <v>87</v>
      </c>
      <c r="AC201" s="39">
        <v>36</v>
      </c>
      <c r="AD201" s="39">
        <v>64</v>
      </c>
      <c r="AE201" s="39">
        <v>43</v>
      </c>
      <c r="AF201" s="39">
        <v>20</v>
      </c>
      <c r="AG201" s="39">
        <v>232</v>
      </c>
      <c r="AH201" s="39">
        <v>130</v>
      </c>
      <c r="AI201" s="39">
        <v>56</v>
      </c>
      <c r="AJ201" s="39">
        <v>232</v>
      </c>
      <c r="AK201" s="39">
        <v>489</v>
      </c>
      <c r="AL201" s="39">
        <v>47.4</v>
      </c>
      <c r="AM201" s="36"/>
    </row>
    <row r="202" spans="1:39" s="37" customFormat="1" ht="13.5" customHeight="1">
      <c r="A202" s="30" t="s">
        <v>2272</v>
      </c>
      <c r="B202" s="30" t="s">
        <v>2273</v>
      </c>
      <c r="C202" s="30" t="s">
        <v>235</v>
      </c>
      <c r="D202" s="30" t="s">
        <v>2012</v>
      </c>
      <c r="E202" s="30" t="s">
        <v>2020</v>
      </c>
      <c r="F202" s="38" t="s">
        <v>2021</v>
      </c>
      <c r="G202" s="38"/>
      <c r="H202" s="38" t="s">
        <v>2346</v>
      </c>
      <c r="I202" s="38" t="s">
        <v>2015</v>
      </c>
      <c r="J202" s="38" t="s">
        <v>2015</v>
      </c>
      <c r="K202" s="38" t="s">
        <v>2018</v>
      </c>
      <c r="L202" s="38" t="s">
        <v>2017</v>
      </c>
      <c r="M202" s="38" t="s">
        <v>2018</v>
      </c>
      <c r="N202" s="38" t="s">
        <v>2018</v>
      </c>
      <c r="O202" s="38" t="s">
        <v>2015</v>
      </c>
      <c r="P202" s="39">
        <v>615</v>
      </c>
      <c r="Q202" s="39">
        <v>1086</v>
      </c>
      <c r="R202" s="39">
        <v>93</v>
      </c>
      <c r="S202" s="39">
        <v>42</v>
      </c>
      <c r="T202" s="39">
        <v>17</v>
      </c>
      <c r="U202" s="39">
        <v>53</v>
      </c>
      <c r="V202" s="39">
        <v>40</v>
      </c>
      <c r="W202" s="39">
        <v>19</v>
      </c>
      <c r="X202" s="39">
        <v>146</v>
      </c>
      <c r="Y202" s="39">
        <v>82</v>
      </c>
      <c r="Z202" s="39">
        <v>36</v>
      </c>
      <c r="AA202" s="39">
        <v>251</v>
      </c>
      <c r="AB202" s="39">
        <v>113</v>
      </c>
      <c r="AC202" s="39">
        <v>46</v>
      </c>
      <c r="AD202" s="39">
        <v>64</v>
      </c>
      <c r="AE202" s="39">
        <v>48</v>
      </c>
      <c r="AF202" s="39">
        <v>23</v>
      </c>
      <c r="AG202" s="39">
        <v>315</v>
      </c>
      <c r="AH202" s="39">
        <v>161</v>
      </c>
      <c r="AI202" s="39">
        <v>69</v>
      </c>
      <c r="AJ202" s="39">
        <v>315</v>
      </c>
      <c r="AK202" s="39">
        <v>610</v>
      </c>
      <c r="AL202" s="39">
        <v>51.6</v>
      </c>
      <c r="AM202" s="36"/>
    </row>
    <row r="203" spans="1:39" s="37" customFormat="1" ht="13.5" customHeight="1">
      <c r="A203" s="30" t="s">
        <v>2272</v>
      </c>
      <c r="B203" s="30" t="s">
        <v>2273</v>
      </c>
      <c r="C203" s="30" t="s">
        <v>235</v>
      </c>
      <c r="D203" s="30" t="s">
        <v>2012</v>
      </c>
      <c r="E203" s="30" t="s">
        <v>2020</v>
      </c>
      <c r="F203" s="38" t="s">
        <v>2021</v>
      </c>
      <c r="G203" s="38"/>
      <c r="H203" s="38" t="s">
        <v>2347</v>
      </c>
      <c r="I203" s="38" t="s">
        <v>2015</v>
      </c>
      <c r="J203" s="38" t="s">
        <v>2015</v>
      </c>
      <c r="K203" s="38" t="s">
        <v>2018</v>
      </c>
      <c r="L203" s="38" t="s">
        <v>2017</v>
      </c>
      <c r="M203" s="38" t="s">
        <v>2018</v>
      </c>
      <c r="N203" s="38" t="s">
        <v>2018</v>
      </c>
      <c r="O203" s="38" t="s">
        <v>2015</v>
      </c>
      <c r="P203" s="39">
        <v>271</v>
      </c>
      <c r="Q203" s="39">
        <v>140</v>
      </c>
      <c r="R203" s="39">
        <v>36</v>
      </c>
      <c r="S203" s="39">
        <v>16</v>
      </c>
      <c r="T203" s="39">
        <v>7</v>
      </c>
      <c r="U203" s="39">
        <v>21</v>
      </c>
      <c r="V203" s="39">
        <v>11</v>
      </c>
      <c r="W203" s="39">
        <v>4</v>
      </c>
      <c r="X203" s="39">
        <v>57</v>
      </c>
      <c r="Y203" s="39">
        <v>27</v>
      </c>
      <c r="Z203" s="39">
        <v>11</v>
      </c>
      <c r="AA203" s="39">
        <v>108</v>
      </c>
      <c r="AB203" s="39">
        <v>48</v>
      </c>
      <c r="AC203" s="39">
        <v>21</v>
      </c>
      <c r="AD203" s="39">
        <v>23</v>
      </c>
      <c r="AE203" s="39">
        <v>12</v>
      </c>
      <c r="AF203" s="39">
        <v>4</v>
      </c>
      <c r="AG203" s="39">
        <v>131</v>
      </c>
      <c r="AH203" s="39">
        <v>60</v>
      </c>
      <c r="AI203" s="39">
        <v>25</v>
      </c>
      <c r="AJ203" s="39">
        <v>131</v>
      </c>
      <c r="AK203" s="39">
        <v>281</v>
      </c>
      <c r="AL203" s="39">
        <v>46.6</v>
      </c>
      <c r="AM203" s="36"/>
    </row>
    <row r="204" spans="1:39" s="37" customFormat="1" ht="13.5" customHeight="1">
      <c r="A204" s="30" t="s">
        <v>2272</v>
      </c>
      <c r="B204" s="30" t="s">
        <v>2273</v>
      </c>
      <c r="C204" s="30" t="s">
        <v>235</v>
      </c>
      <c r="D204" s="30" t="s">
        <v>2012</v>
      </c>
      <c r="E204" s="30" t="s">
        <v>2020</v>
      </c>
      <c r="F204" s="38" t="s">
        <v>2021</v>
      </c>
      <c r="G204" s="38"/>
      <c r="H204" s="38" t="s">
        <v>2348</v>
      </c>
      <c r="I204" s="38" t="s">
        <v>2015</v>
      </c>
      <c r="J204" s="38" t="s">
        <v>2015</v>
      </c>
      <c r="K204" s="38" t="s">
        <v>2018</v>
      </c>
      <c r="L204" s="38" t="s">
        <v>2017</v>
      </c>
      <c r="M204" s="38" t="s">
        <v>2018</v>
      </c>
      <c r="N204" s="38" t="s">
        <v>2018</v>
      </c>
      <c r="O204" s="38" t="s">
        <v>2015</v>
      </c>
      <c r="P204" s="39">
        <v>2631</v>
      </c>
      <c r="Q204" s="39">
        <v>1232</v>
      </c>
      <c r="R204" s="39">
        <v>364</v>
      </c>
      <c r="S204" s="39">
        <v>230</v>
      </c>
      <c r="T204" s="39">
        <v>85</v>
      </c>
      <c r="U204" s="39">
        <v>340</v>
      </c>
      <c r="V204" s="39">
        <v>292</v>
      </c>
      <c r="W204" s="39">
        <v>227</v>
      </c>
      <c r="X204" s="39">
        <v>704</v>
      </c>
      <c r="Y204" s="39">
        <v>522</v>
      </c>
      <c r="Z204" s="39">
        <v>312</v>
      </c>
      <c r="AA204" s="39">
        <v>1033</v>
      </c>
      <c r="AB204" s="39">
        <v>648</v>
      </c>
      <c r="AC204" s="39">
        <v>240</v>
      </c>
      <c r="AD204" s="39">
        <v>393</v>
      </c>
      <c r="AE204" s="39">
        <v>339</v>
      </c>
      <c r="AF204" s="39">
        <v>262</v>
      </c>
      <c r="AG204" s="39">
        <v>1426</v>
      </c>
      <c r="AH204" s="39">
        <v>987</v>
      </c>
      <c r="AI204" s="39">
        <v>502</v>
      </c>
      <c r="AJ204" s="39">
        <v>1426</v>
      </c>
      <c r="AK204" s="39">
        <v>2428</v>
      </c>
      <c r="AL204" s="39">
        <v>58.7</v>
      </c>
      <c r="AM204" s="36"/>
    </row>
    <row r="205" spans="1:39" s="37" customFormat="1" ht="13.5" customHeight="1">
      <c r="A205" s="30" t="s">
        <v>2272</v>
      </c>
      <c r="B205" s="30" t="s">
        <v>2273</v>
      </c>
      <c r="C205" s="30" t="s">
        <v>235</v>
      </c>
      <c r="D205" s="30" t="s">
        <v>2012</v>
      </c>
      <c r="E205" s="30" t="s">
        <v>2020</v>
      </c>
      <c r="F205" s="38" t="s">
        <v>2021</v>
      </c>
      <c r="G205" s="38"/>
      <c r="H205" s="38" t="s">
        <v>2349</v>
      </c>
      <c r="I205" s="38" t="s">
        <v>2015</v>
      </c>
      <c r="J205" s="38" t="s">
        <v>2015</v>
      </c>
      <c r="K205" s="38" t="s">
        <v>2018</v>
      </c>
      <c r="L205" s="38" t="s">
        <v>2017</v>
      </c>
      <c r="M205" s="38" t="s">
        <v>2018</v>
      </c>
      <c r="N205" s="38" t="s">
        <v>2018</v>
      </c>
      <c r="O205" s="38" t="s">
        <v>2015</v>
      </c>
      <c r="P205" s="39">
        <v>250</v>
      </c>
      <c r="Q205" s="39">
        <v>118</v>
      </c>
      <c r="R205" s="39">
        <v>29</v>
      </c>
      <c r="S205" s="39">
        <v>14</v>
      </c>
      <c r="T205" s="39">
        <v>5</v>
      </c>
      <c r="U205" s="39">
        <v>10</v>
      </c>
      <c r="V205" s="39">
        <v>7</v>
      </c>
      <c r="W205" s="39">
        <v>3</v>
      </c>
      <c r="X205" s="39">
        <v>39</v>
      </c>
      <c r="Y205" s="39">
        <v>21</v>
      </c>
      <c r="Z205" s="39">
        <v>8</v>
      </c>
      <c r="AA205" s="39">
        <v>87</v>
      </c>
      <c r="AB205" s="39">
        <v>42</v>
      </c>
      <c r="AC205" s="39">
        <v>15</v>
      </c>
      <c r="AD205" s="39">
        <v>14</v>
      </c>
      <c r="AE205" s="39">
        <v>10</v>
      </c>
      <c r="AF205" s="39">
        <v>4</v>
      </c>
      <c r="AG205" s="39">
        <v>101</v>
      </c>
      <c r="AH205" s="39">
        <v>52</v>
      </c>
      <c r="AI205" s="39">
        <v>19</v>
      </c>
      <c r="AJ205" s="39">
        <v>101</v>
      </c>
      <c r="AK205" s="39">
        <v>228</v>
      </c>
      <c r="AL205" s="39">
        <v>44.3</v>
      </c>
      <c r="AM205" s="36"/>
    </row>
    <row r="206" spans="1:39" s="37" customFormat="1" ht="13.5" customHeight="1">
      <c r="A206" s="30" t="s">
        <v>2272</v>
      </c>
      <c r="B206" s="30" t="s">
        <v>2273</v>
      </c>
      <c r="C206" s="30" t="s">
        <v>235</v>
      </c>
      <c r="D206" s="30" t="s">
        <v>2012</v>
      </c>
      <c r="E206" s="30" t="s">
        <v>2020</v>
      </c>
      <c r="F206" s="38" t="s">
        <v>2021</v>
      </c>
      <c r="G206" s="38"/>
      <c r="H206" s="38" t="s">
        <v>2350</v>
      </c>
      <c r="I206" s="38" t="s">
        <v>2015</v>
      </c>
      <c r="J206" s="38" t="s">
        <v>2015</v>
      </c>
      <c r="K206" s="38" t="s">
        <v>2018</v>
      </c>
      <c r="L206" s="38" t="s">
        <v>2017</v>
      </c>
      <c r="M206" s="38" t="s">
        <v>2018</v>
      </c>
      <c r="N206" s="38" t="s">
        <v>2018</v>
      </c>
      <c r="O206" s="38" t="s">
        <v>2015</v>
      </c>
      <c r="P206" s="39">
        <v>561</v>
      </c>
      <c r="Q206" s="39">
        <v>308</v>
      </c>
      <c r="R206" s="39">
        <v>75</v>
      </c>
      <c r="S206" s="39">
        <v>31</v>
      </c>
      <c r="T206" s="39">
        <v>12</v>
      </c>
      <c r="U206" s="39">
        <v>42</v>
      </c>
      <c r="V206" s="39">
        <v>25</v>
      </c>
      <c r="W206" s="39">
        <v>12</v>
      </c>
      <c r="X206" s="39">
        <v>117</v>
      </c>
      <c r="Y206" s="39">
        <v>56</v>
      </c>
      <c r="Z206" s="39">
        <v>24</v>
      </c>
      <c r="AA206" s="39">
        <v>240</v>
      </c>
      <c r="AB206" s="39">
        <v>99</v>
      </c>
      <c r="AC206" s="39">
        <v>38</v>
      </c>
      <c r="AD206" s="39">
        <v>46</v>
      </c>
      <c r="AE206" s="39">
        <v>28</v>
      </c>
      <c r="AF206" s="39">
        <v>13</v>
      </c>
      <c r="AG206" s="39">
        <v>286</v>
      </c>
      <c r="AH206" s="39">
        <v>127</v>
      </c>
      <c r="AI206" s="39">
        <v>51</v>
      </c>
      <c r="AJ206" s="39">
        <v>286</v>
      </c>
      <c r="AK206" s="39">
        <v>554</v>
      </c>
      <c r="AL206" s="39">
        <v>51.6</v>
      </c>
      <c r="AM206" s="36"/>
    </row>
    <row r="207" spans="1:39" s="37" customFormat="1" ht="13.5" customHeight="1">
      <c r="A207" s="30" t="s">
        <v>2272</v>
      </c>
      <c r="B207" s="30" t="s">
        <v>2273</v>
      </c>
      <c r="C207" s="30" t="s">
        <v>235</v>
      </c>
      <c r="D207" s="30" t="s">
        <v>2012</v>
      </c>
      <c r="E207" s="30" t="s">
        <v>2020</v>
      </c>
      <c r="F207" s="38" t="s">
        <v>2021</v>
      </c>
      <c r="G207" s="38"/>
      <c r="H207" s="38" t="s">
        <v>2351</v>
      </c>
      <c r="I207" s="38" t="s">
        <v>2015</v>
      </c>
      <c r="J207" s="38" t="s">
        <v>2015</v>
      </c>
      <c r="K207" s="38" t="s">
        <v>2018</v>
      </c>
      <c r="L207" s="38" t="s">
        <v>2017</v>
      </c>
      <c r="M207" s="38" t="s">
        <v>2018</v>
      </c>
      <c r="N207" s="38" t="s">
        <v>2018</v>
      </c>
      <c r="O207" s="38" t="s">
        <v>2015</v>
      </c>
      <c r="P207" s="39">
        <v>1627</v>
      </c>
      <c r="Q207" s="39">
        <v>766</v>
      </c>
      <c r="R207" s="39">
        <v>193</v>
      </c>
      <c r="S207" s="39">
        <v>89</v>
      </c>
      <c r="T207" s="39">
        <v>40</v>
      </c>
      <c r="U207" s="39">
        <v>157</v>
      </c>
      <c r="V207" s="39">
        <v>112</v>
      </c>
      <c r="W207" s="39">
        <v>62</v>
      </c>
      <c r="X207" s="39">
        <v>350</v>
      </c>
      <c r="Y207" s="39">
        <v>201</v>
      </c>
      <c r="Z207" s="39">
        <v>102</v>
      </c>
      <c r="AA207" s="39">
        <v>550</v>
      </c>
      <c r="AB207" s="39">
        <v>254</v>
      </c>
      <c r="AC207" s="39">
        <v>114</v>
      </c>
      <c r="AD207" s="39">
        <v>181</v>
      </c>
      <c r="AE207" s="39">
        <v>130</v>
      </c>
      <c r="AF207" s="39">
        <v>71</v>
      </c>
      <c r="AG207" s="39">
        <v>731</v>
      </c>
      <c r="AH207" s="39">
        <v>384</v>
      </c>
      <c r="AI207" s="39">
        <v>185</v>
      </c>
      <c r="AJ207" s="39">
        <v>731</v>
      </c>
      <c r="AK207" s="39">
        <v>1649</v>
      </c>
      <c r="AL207" s="39">
        <v>44.3</v>
      </c>
      <c r="AM207" s="36"/>
    </row>
    <row r="208" spans="1:39" s="37" customFormat="1" ht="13.5" customHeight="1">
      <c r="A208" s="30" t="s">
        <v>2272</v>
      </c>
      <c r="B208" s="30" t="s">
        <v>2273</v>
      </c>
      <c r="C208" s="30" t="s">
        <v>235</v>
      </c>
      <c r="D208" s="30" t="s">
        <v>2012</v>
      </c>
      <c r="E208" s="30" t="s">
        <v>2020</v>
      </c>
      <c r="F208" s="159" t="s">
        <v>2021</v>
      </c>
      <c r="G208" s="159"/>
      <c r="H208" s="159" t="s">
        <v>2352</v>
      </c>
      <c r="I208" s="159" t="s">
        <v>2015</v>
      </c>
      <c r="J208" s="159" t="s">
        <v>2015</v>
      </c>
      <c r="K208" s="159" t="s">
        <v>2018</v>
      </c>
      <c r="L208" s="159" t="s">
        <v>2017</v>
      </c>
      <c r="M208" s="159" t="s">
        <v>2018</v>
      </c>
      <c r="N208" s="159" t="s">
        <v>2018</v>
      </c>
      <c r="O208" s="159" t="s">
        <v>2015</v>
      </c>
      <c r="P208" s="160">
        <v>559</v>
      </c>
      <c r="Q208" s="160">
        <v>237</v>
      </c>
      <c r="R208" s="160">
        <v>71</v>
      </c>
      <c r="S208" s="160">
        <v>25</v>
      </c>
      <c r="T208" s="160">
        <v>9</v>
      </c>
      <c r="U208" s="160">
        <v>51</v>
      </c>
      <c r="V208" s="160">
        <v>37</v>
      </c>
      <c r="W208" s="160">
        <v>21</v>
      </c>
      <c r="X208" s="160">
        <v>122</v>
      </c>
      <c r="Y208" s="160">
        <v>62</v>
      </c>
      <c r="Z208" s="160">
        <v>30</v>
      </c>
      <c r="AA208" s="160">
        <v>206</v>
      </c>
      <c r="AB208" s="160">
        <v>73</v>
      </c>
      <c r="AC208" s="160">
        <v>26</v>
      </c>
      <c r="AD208" s="160">
        <v>56</v>
      </c>
      <c r="AE208" s="160">
        <v>41</v>
      </c>
      <c r="AF208" s="160">
        <v>23</v>
      </c>
      <c r="AG208" s="160">
        <v>262</v>
      </c>
      <c r="AH208" s="160">
        <v>114</v>
      </c>
      <c r="AI208" s="160">
        <v>49</v>
      </c>
      <c r="AJ208" s="160">
        <v>262</v>
      </c>
      <c r="AK208" s="160">
        <v>526</v>
      </c>
      <c r="AL208" s="160">
        <v>49.8</v>
      </c>
      <c r="AM208" s="36"/>
    </row>
    <row r="209" spans="1:39" s="37" customFormat="1" ht="13.5" customHeight="1">
      <c r="A209" s="30" t="s">
        <v>2272</v>
      </c>
      <c r="B209" s="30" t="s">
        <v>2273</v>
      </c>
      <c r="C209" s="30" t="s">
        <v>235</v>
      </c>
      <c r="D209" s="30" t="s">
        <v>2012</v>
      </c>
      <c r="E209" s="30" t="s">
        <v>2020</v>
      </c>
      <c r="F209" s="38" t="s">
        <v>2021</v>
      </c>
      <c r="G209" s="38"/>
      <c r="H209" s="38" t="s">
        <v>2353</v>
      </c>
      <c r="I209" s="38" t="s">
        <v>2015</v>
      </c>
      <c r="J209" s="38" t="s">
        <v>2015</v>
      </c>
      <c r="K209" s="38" t="s">
        <v>2018</v>
      </c>
      <c r="L209" s="38" t="s">
        <v>2017</v>
      </c>
      <c r="M209" s="38" t="s">
        <v>2018</v>
      </c>
      <c r="N209" s="38" t="s">
        <v>2018</v>
      </c>
      <c r="O209" s="38" t="s">
        <v>2015</v>
      </c>
      <c r="P209" s="39">
        <v>71</v>
      </c>
      <c r="Q209" s="39">
        <v>123</v>
      </c>
      <c r="R209" s="39">
        <v>5</v>
      </c>
      <c r="S209" s="39">
        <v>5</v>
      </c>
      <c r="T209" s="39">
        <v>3</v>
      </c>
      <c r="U209" s="39">
        <v>11</v>
      </c>
      <c r="V209" s="39">
        <v>11</v>
      </c>
      <c r="W209" s="39">
        <v>9</v>
      </c>
      <c r="X209" s="39">
        <v>16</v>
      </c>
      <c r="Y209" s="39">
        <v>16</v>
      </c>
      <c r="Z209" s="39">
        <v>12</v>
      </c>
      <c r="AA209" s="39">
        <v>14</v>
      </c>
      <c r="AB209" s="39">
        <v>14</v>
      </c>
      <c r="AC209" s="39">
        <v>8</v>
      </c>
      <c r="AD209" s="39">
        <v>12</v>
      </c>
      <c r="AE209" s="39">
        <v>12</v>
      </c>
      <c r="AF209" s="39">
        <v>10</v>
      </c>
      <c r="AG209" s="39">
        <v>26</v>
      </c>
      <c r="AH209" s="39">
        <v>26</v>
      </c>
      <c r="AI209" s="39">
        <v>18</v>
      </c>
      <c r="AJ209" s="39">
        <v>26</v>
      </c>
      <c r="AK209" s="39">
        <v>72</v>
      </c>
      <c r="AL209" s="39">
        <v>36.1</v>
      </c>
      <c r="AM209" s="36"/>
    </row>
    <row r="210" spans="1:39" s="37" customFormat="1" ht="13.5" customHeight="1">
      <c r="A210" s="30" t="s">
        <v>2272</v>
      </c>
      <c r="B210" s="30" t="s">
        <v>2273</v>
      </c>
      <c r="C210" s="30" t="s">
        <v>235</v>
      </c>
      <c r="D210" s="30" t="s">
        <v>2012</v>
      </c>
      <c r="E210" s="30" t="s">
        <v>2020</v>
      </c>
      <c r="F210" s="38" t="s">
        <v>2021</v>
      </c>
      <c r="G210" s="38"/>
      <c r="H210" s="38" t="s">
        <v>2354</v>
      </c>
      <c r="I210" s="38" t="s">
        <v>2015</v>
      </c>
      <c r="J210" s="38" t="s">
        <v>2015</v>
      </c>
      <c r="K210" s="38" t="s">
        <v>2018</v>
      </c>
      <c r="L210" s="38" t="s">
        <v>2017</v>
      </c>
      <c r="M210" s="38" t="s">
        <v>2018</v>
      </c>
      <c r="N210" s="38" t="s">
        <v>2018</v>
      </c>
      <c r="O210" s="38" t="s">
        <v>2015</v>
      </c>
      <c r="P210" s="39">
        <v>203</v>
      </c>
      <c r="Q210" s="39">
        <v>311</v>
      </c>
      <c r="R210" s="39">
        <v>36</v>
      </c>
      <c r="S210" s="39">
        <v>23</v>
      </c>
      <c r="T210" s="39">
        <v>12</v>
      </c>
      <c r="U210" s="39">
        <v>15</v>
      </c>
      <c r="V210" s="39">
        <v>11</v>
      </c>
      <c r="W210" s="39">
        <v>8</v>
      </c>
      <c r="X210" s="39">
        <v>51</v>
      </c>
      <c r="Y210" s="39">
        <v>34</v>
      </c>
      <c r="Z210" s="39">
        <v>20</v>
      </c>
      <c r="AA210" s="39">
        <v>94</v>
      </c>
      <c r="AB210" s="39">
        <v>60</v>
      </c>
      <c r="AC210" s="39">
        <v>31</v>
      </c>
      <c r="AD210" s="39">
        <v>21</v>
      </c>
      <c r="AE210" s="39">
        <v>15</v>
      </c>
      <c r="AF210" s="39">
        <v>11</v>
      </c>
      <c r="AG210" s="39">
        <v>115</v>
      </c>
      <c r="AH210" s="39">
        <v>75</v>
      </c>
      <c r="AI210" s="39">
        <v>42</v>
      </c>
      <c r="AJ210" s="39">
        <v>115</v>
      </c>
      <c r="AK210" s="39">
        <v>197</v>
      </c>
      <c r="AL210" s="39">
        <v>58.4</v>
      </c>
      <c r="AM210" s="36"/>
    </row>
    <row r="211" spans="1:39" s="37" customFormat="1" ht="13.5" customHeight="1">
      <c r="A211" s="30" t="s">
        <v>2272</v>
      </c>
      <c r="B211" s="30" t="s">
        <v>2273</v>
      </c>
      <c r="C211" s="30" t="s">
        <v>235</v>
      </c>
      <c r="D211" s="30" t="s">
        <v>2012</v>
      </c>
      <c r="E211" s="30" t="s">
        <v>2020</v>
      </c>
      <c r="F211" s="38" t="s">
        <v>2021</v>
      </c>
      <c r="G211" s="38"/>
      <c r="H211" s="38" t="s">
        <v>2355</v>
      </c>
      <c r="I211" s="38" t="s">
        <v>2015</v>
      </c>
      <c r="J211" s="38" t="s">
        <v>2015</v>
      </c>
      <c r="K211" s="38" t="s">
        <v>2018</v>
      </c>
      <c r="L211" s="38" t="s">
        <v>2017</v>
      </c>
      <c r="M211" s="38" t="s">
        <v>2018</v>
      </c>
      <c r="N211" s="38" t="s">
        <v>2018</v>
      </c>
      <c r="O211" s="38" t="s">
        <v>2015</v>
      </c>
      <c r="P211" s="39">
        <v>196</v>
      </c>
      <c r="Q211" s="39">
        <v>261</v>
      </c>
      <c r="R211" s="39">
        <v>31</v>
      </c>
      <c r="S211" s="39">
        <v>21</v>
      </c>
      <c r="T211" s="39">
        <v>9</v>
      </c>
      <c r="U211" s="39">
        <v>14</v>
      </c>
      <c r="V211" s="39">
        <v>12</v>
      </c>
      <c r="W211" s="39">
        <v>4</v>
      </c>
      <c r="X211" s="39">
        <v>45</v>
      </c>
      <c r="Y211" s="39">
        <v>33</v>
      </c>
      <c r="Z211" s="39">
        <v>13</v>
      </c>
      <c r="AA211" s="39">
        <v>81</v>
      </c>
      <c r="AB211" s="39">
        <v>55</v>
      </c>
      <c r="AC211" s="39">
        <v>23</v>
      </c>
      <c r="AD211" s="39">
        <v>14</v>
      </c>
      <c r="AE211" s="39">
        <v>12</v>
      </c>
      <c r="AF211" s="39">
        <v>4</v>
      </c>
      <c r="AG211" s="39">
        <v>95</v>
      </c>
      <c r="AH211" s="39">
        <v>67</v>
      </c>
      <c r="AI211" s="39">
        <v>27</v>
      </c>
      <c r="AJ211" s="39">
        <v>95</v>
      </c>
      <c r="AK211" s="39">
        <v>195</v>
      </c>
      <c r="AL211" s="39">
        <v>48.7</v>
      </c>
      <c r="AM211" s="36"/>
    </row>
    <row r="212" spans="1:39" s="37" customFormat="1" ht="13.5" customHeight="1">
      <c r="A212" s="30" t="s">
        <v>2272</v>
      </c>
      <c r="B212" s="30" t="s">
        <v>2273</v>
      </c>
      <c r="C212" s="30" t="s">
        <v>235</v>
      </c>
      <c r="D212" s="30" t="s">
        <v>2012</v>
      </c>
      <c r="E212" s="30" t="s">
        <v>2020</v>
      </c>
      <c r="F212" s="38" t="s">
        <v>2021</v>
      </c>
      <c r="G212" s="38"/>
      <c r="H212" s="38" t="s">
        <v>2356</v>
      </c>
      <c r="I212" s="38" t="s">
        <v>2015</v>
      </c>
      <c r="J212" s="38" t="s">
        <v>2015</v>
      </c>
      <c r="K212" s="38" t="s">
        <v>2018</v>
      </c>
      <c r="L212" s="38" t="s">
        <v>2017</v>
      </c>
      <c r="M212" s="38" t="s">
        <v>2018</v>
      </c>
      <c r="N212" s="38" t="s">
        <v>2018</v>
      </c>
      <c r="O212" s="38" t="s">
        <v>2015</v>
      </c>
      <c r="P212" s="39">
        <v>1403</v>
      </c>
      <c r="Q212" s="39">
        <v>577</v>
      </c>
      <c r="R212" s="39">
        <v>184</v>
      </c>
      <c r="S212" s="39">
        <v>101</v>
      </c>
      <c r="T212" s="39">
        <v>45</v>
      </c>
      <c r="U212" s="39">
        <v>100</v>
      </c>
      <c r="V212" s="39">
        <v>70</v>
      </c>
      <c r="W212" s="39">
        <v>45</v>
      </c>
      <c r="X212" s="39">
        <v>284</v>
      </c>
      <c r="Y212" s="39">
        <v>171</v>
      </c>
      <c r="Z212" s="39">
        <v>90</v>
      </c>
      <c r="AA212" s="39">
        <v>589</v>
      </c>
      <c r="AB212" s="39">
        <v>323</v>
      </c>
      <c r="AC212" s="39">
        <v>144</v>
      </c>
      <c r="AD212" s="39">
        <v>130</v>
      </c>
      <c r="AE212" s="39">
        <v>91</v>
      </c>
      <c r="AF212" s="39">
        <v>59</v>
      </c>
      <c r="AG212" s="39">
        <v>719</v>
      </c>
      <c r="AH212" s="39">
        <v>414</v>
      </c>
      <c r="AI212" s="39">
        <v>203</v>
      </c>
      <c r="AJ212" s="39">
        <v>719</v>
      </c>
      <c r="AK212" s="39">
        <v>1401</v>
      </c>
      <c r="AL212" s="39">
        <v>51.3</v>
      </c>
      <c r="AM212" s="36"/>
    </row>
    <row r="213" spans="1:39" ht="13.5" hidden="1" customHeight="1">
      <c r="A213" s="30" t="s">
        <v>2272</v>
      </c>
      <c r="B213" s="30" t="s">
        <v>2273</v>
      </c>
      <c r="C213" s="30" t="s">
        <v>235</v>
      </c>
      <c r="D213" s="30" t="s">
        <v>2012</v>
      </c>
      <c r="E213" s="30" t="s">
        <v>2022</v>
      </c>
      <c r="F213" s="30" t="s">
        <v>2023</v>
      </c>
      <c r="G213" s="30"/>
      <c r="H213" s="30" t="s">
        <v>2357</v>
      </c>
      <c r="I213" s="30" t="s">
        <v>2015</v>
      </c>
      <c r="J213" s="30" t="s">
        <v>2015</v>
      </c>
      <c r="K213" s="30" t="s">
        <v>2018</v>
      </c>
      <c r="L213" s="30" t="s">
        <v>2017</v>
      </c>
      <c r="M213" s="30" t="s">
        <v>2018</v>
      </c>
      <c r="N213" s="30" t="s">
        <v>2018</v>
      </c>
      <c r="O213" s="30" t="s">
        <v>2015</v>
      </c>
      <c r="P213" s="32">
        <v>1290</v>
      </c>
      <c r="Q213" s="32">
        <v>577</v>
      </c>
      <c r="R213" s="32">
        <v>155</v>
      </c>
      <c r="S213" s="32">
        <v>86</v>
      </c>
      <c r="T213" s="32">
        <v>31</v>
      </c>
      <c r="U213" s="32">
        <v>69</v>
      </c>
      <c r="V213" s="32">
        <v>45</v>
      </c>
      <c r="W213" s="32">
        <v>24</v>
      </c>
      <c r="X213" s="32">
        <v>224</v>
      </c>
      <c r="Y213" s="32">
        <v>131</v>
      </c>
      <c r="Z213" s="32">
        <v>55</v>
      </c>
      <c r="AA213" s="32">
        <v>465</v>
      </c>
      <c r="AB213" s="32">
        <v>258</v>
      </c>
      <c r="AC213" s="32">
        <v>93</v>
      </c>
      <c r="AD213" s="32">
        <v>90</v>
      </c>
      <c r="AE213" s="32">
        <v>59</v>
      </c>
      <c r="AF213" s="32">
        <v>31</v>
      </c>
      <c r="AG213" s="32">
        <v>555</v>
      </c>
      <c r="AH213" s="32">
        <v>317</v>
      </c>
      <c r="AI213" s="32">
        <v>124</v>
      </c>
      <c r="AJ213" s="32">
        <v>555</v>
      </c>
      <c r="AK213" s="32">
        <v>1290</v>
      </c>
      <c r="AL213" s="32">
        <v>43</v>
      </c>
    </row>
    <row r="214" spans="1:39" ht="13.5" hidden="1" customHeight="1">
      <c r="A214" s="30" t="s">
        <v>2272</v>
      </c>
      <c r="B214" s="30" t="s">
        <v>2273</v>
      </c>
      <c r="C214" s="30" t="s">
        <v>235</v>
      </c>
      <c r="D214" s="30" t="s">
        <v>2012</v>
      </c>
      <c r="E214" s="30" t="s">
        <v>2022</v>
      </c>
      <c r="F214" s="30" t="s">
        <v>2023</v>
      </c>
      <c r="G214" s="30"/>
      <c r="H214" s="30" t="s">
        <v>2358</v>
      </c>
      <c r="I214" s="30" t="s">
        <v>2015</v>
      </c>
      <c r="J214" s="30" t="s">
        <v>2015</v>
      </c>
      <c r="K214" s="30" t="s">
        <v>2018</v>
      </c>
      <c r="L214" s="30" t="s">
        <v>2017</v>
      </c>
      <c r="M214" s="30" t="s">
        <v>2018</v>
      </c>
      <c r="N214" s="30" t="s">
        <v>2018</v>
      </c>
      <c r="O214" s="30" t="s">
        <v>2015</v>
      </c>
      <c r="P214" s="32">
        <v>4883</v>
      </c>
      <c r="Q214" s="32">
        <v>3063</v>
      </c>
      <c r="R214" s="32">
        <v>522</v>
      </c>
      <c r="S214" s="32">
        <v>226</v>
      </c>
      <c r="T214" s="32">
        <v>113</v>
      </c>
      <c r="U214" s="32">
        <v>442</v>
      </c>
      <c r="V214" s="32">
        <v>277</v>
      </c>
      <c r="W214" s="32">
        <v>174</v>
      </c>
      <c r="X214" s="32">
        <v>964</v>
      </c>
      <c r="Y214" s="32">
        <v>503</v>
      </c>
      <c r="Z214" s="32">
        <v>287</v>
      </c>
      <c r="AA214" s="32">
        <v>1639</v>
      </c>
      <c r="AB214" s="32">
        <v>671</v>
      </c>
      <c r="AC214" s="32">
        <v>347</v>
      </c>
      <c r="AD214" s="32">
        <v>551</v>
      </c>
      <c r="AE214" s="32">
        <v>337</v>
      </c>
      <c r="AF214" s="32">
        <v>212</v>
      </c>
      <c r="AG214" s="32">
        <v>2190</v>
      </c>
      <c r="AH214" s="32">
        <v>1008</v>
      </c>
      <c r="AI214" s="32">
        <v>559</v>
      </c>
      <c r="AJ214" s="32">
        <v>2190</v>
      </c>
      <c r="AK214" s="32">
        <v>4805</v>
      </c>
      <c r="AL214" s="32">
        <v>45.6</v>
      </c>
    </row>
    <row r="215" spans="1:39" ht="13.5" hidden="1" customHeight="1">
      <c r="A215" s="30" t="s">
        <v>2272</v>
      </c>
      <c r="B215" s="30" t="s">
        <v>2273</v>
      </c>
      <c r="C215" s="30" t="s">
        <v>235</v>
      </c>
      <c r="D215" s="30" t="s">
        <v>2012</v>
      </c>
      <c r="E215" s="30" t="s">
        <v>2022</v>
      </c>
      <c r="F215" s="30" t="s">
        <v>2023</v>
      </c>
      <c r="G215" s="30"/>
      <c r="H215" s="30" t="s">
        <v>2359</v>
      </c>
      <c r="I215" s="30" t="s">
        <v>2015</v>
      </c>
      <c r="J215" s="30" t="s">
        <v>2015</v>
      </c>
      <c r="K215" s="30" t="s">
        <v>2018</v>
      </c>
      <c r="L215" s="30" t="s">
        <v>2017</v>
      </c>
      <c r="M215" s="30" t="s">
        <v>2018</v>
      </c>
      <c r="N215" s="30" t="s">
        <v>2018</v>
      </c>
      <c r="O215" s="30" t="s">
        <v>2015</v>
      </c>
      <c r="P215" s="32">
        <v>21172</v>
      </c>
      <c r="Q215" s="32">
        <v>8720</v>
      </c>
      <c r="R215" s="32">
        <v>1657</v>
      </c>
      <c r="S215" s="32">
        <v>744</v>
      </c>
      <c r="T215" s="32">
        <v>287</v>
      </c>
      <c r="U215" s="32">
        <v>1711</v>
      </c>
      <c r="V215" s="32">
        <v>1125</v>
      </c>
      <c r="W215" s="32">
        <v>619</v>
      </c>
      <c r="X215" s="32">
        <v>3368</v>
      </c>
      <c r="Y215" s="32">
        <v>1869</v>
      </c>
      <c r="Z215" s="32">
        <v>906</v>
      </c>
      <c r="AA215" s="32">
        <v>4928</v>
      </c>
      <c r="AB215" s="32">
        <v>2194</v>
      </c>
      <c r="AC215" s="32">
        <v>843</v>
      </c>
      <c r="AD215" s="32">
        <v>2015</v>
      </c>
      <c r="AE215" s="32">
        <v>1310</v>
      </c>
      <c r="AF215" s="32">
        <v>722</v>
      </c>
      <c r="AG215" s="32">
        <v>6943</v>
      </c>
      <c r="AH215" s="32">
        <v>3504</v>
      </c>
      <c r="AI215" s="32">
        <v>1565</v>
      </c>
      <c r="AJ215" s="32">
        <v>6943</v>
      </c>
      <c r="AK215" s="32">
        <v>19111</v>
      </c>
      <c r="AL215" s="32">
        <v>36.299999999999997</v>
      </c>
    </row>
    <row r="216" spans="1:39" ht="13.5" hidden="1" customHeight="1">
      <c r="A216" s="30" t="s">
        <v>2272</v>
      </c>
      <c r="B216" s="30" t="s">
        <v>2273</v>
      </c>
      <c r="C216" s="30" t="s">
        <v>235</v>
      </c>
      <c r="D216" s="30" t="s">
        <v>2012</v>
      </c>
      <c r="E216" s="30" t="s">
        <v>2022</v>
      </c>
      <c r="F216" s="30" t="s">
        <v>2023</v>
      </c>
      <c r="G216" s="30"/>
      <c r="H216" s="30" t="s">
        <v>2360</v>
      </c>
      <c r="I216" s="30" t="s">
        <v>2015</v>
      </c>
      <c r="J216" s="30" t="s">
        <v>2015</v>
      </c>
      <c r="K216" s="30" t="s">
        <v>2099</v>
      </c>
      <c r="L216" s="30" t="s">
        <v>2017</v>
      </c>
      <c r="M216" s="30" t="s">
        <v>2018</v>
      </c>
      <c r="N216" s="30" t="s">
        <v>2099</v>
      </c>
      <c r="O216" s="30" t="s">
        <v>2100</v>
      </c>
      <c r="P216" s="32">
        <v>9068</v>
      </c>
      <c r="Q216" s="32">
        <v>3724</v>
      </c>
      <c r="R216" s="32">
        <v>446</v>
      </c>
      <c r="S216" s="32">
        <v>111</v>
      </c>
      <c r="T216" s="32">
        <v>35</v>
      </c>
      <c r="U216" s="32">
        <v>484</v>
      </c>
      <c r="V216" s="32">
        <v>319</v>
      </c>
      <c r="W216" s="32">
        <v>193</v>
      </c>
      <c r="X216" s="32">
        <v>930</v>
      </c>
      <c r="Y216" s="32">
        <v>430</v>
      </c>
      <c r="Z216" s="32">
        <v>228</v>
      </c>
      <c r="AA216" s="32">
        <v>1337</v>
      </c>
      <c r="AB216" s="32">
        <v>333</v>
      </c>
      <c r="AC216" s="32">
        <v>104</v>
      </c>
      <c r="AD216" s="32">
        <v>586</v>
      </c>
      <c r="AE216" s="32">
        <v>390</v>
      </c>
      <c r="AF216" s="32">
        <v>237</v>
      </c>
      <c r="AG216" s="32">
        <v>1923</v>
      </c>
      <c r="AH216" s="32">
        <v>723</v>
      </c>
      <c r="AI216" s="32">
        <v>341</v>
      </c>
      <c r="AJ216" s="32">
        <v>1923</v>
      </c>
      <c r="AK216" s="32">
        <v>8965</v>
      </c>
      <c r="AL216" s="32">
        <v>21.5</v>
      </c>
    </row>
    <row r="217" spans="1:39" ht="13.5" hidden="1" customHeight="1">
      <c r="A217" s="30" t="s">
        <v>2272</v>
      </c>
      <c r="B217" s="30" t="s">
        <v>2273</v>
      </c>
      <c r="C217" s="30" t="s">
        <v>235</v>
      </c>
      <c r="D217" s="30" t="s">
        <v>2012</v>
      </c>
      <c r="E217" s="30" t="s">
        <v>2022</v>
      </c>
      <c r="F217" s="30" t="s">
        <v>2023</v>
      </c>
      <c r="G217" s="30"/>
      <c r="H217" s="30" t="s">
        <v>2361</v>
      </c>
      <c r="I217" s="30" t="s">
        <v>2015</v>
      </c>
      <c r="J217" s="30" t="s">
        <v>2015</v>
      </c>
      <c r="K217" s="30" t="s">
        <v>2099</v>
      </c>
      <c r="L217" s="30" t="s">
        <v>2017</v>
      </c>
      <c r="M217" s="30" t="s">
        <v>2018</v>
      </c>
      <c r="N217" s="30" t="s">
        <v>2099</v>
      </c>
      <c r="O217" s="30" t="s">
        <v>2100</v>
      </c>
      <c r="P217" s="32">
        <v>3469</v>
      </c>
      <c r="Q217" s="32">
        <v>1958</v>
      </c>
      <c r="R217" s="32">
        <v>377</v>
      </c>
      <c r="S217" s="32">
        <v>173</v>
      </c>
      <c r="T217" s="32">
        <v>96</v>
      </c>
      <c r="U217" s="32">
        <v>257</v>
      </c>
      <c r="V217" s="32">
        <v>182</v>
      </c>
      <c r="W217" s="32">
        <v>110</v>
      </c>
      <c r="X217" s="32">
        <v>634</v>
      </c>
      <c r="Y217" s="32">
        <v>355</v>
      </c>
      <c r="Z217" s="32">
        <v>206</v>
      </c>
      <c r="AA217" s="32">
        <v>1162</v>
      </c>
      <c r="AB217" s="32">
        <v>532</v>
      </c>
      <c r="AC217" s="32">
        <v>295</v>
      </c>
      <c r="AD217" s="32">
        <v>335</v>
      </c>
      <c r="AE217" s="32">
        <v>236</v>
      </c>
      <c r="AF217" s="32">
        <v>143</v>
      </c>
      <c r="AG217" s="32">
        <v>1497</v>
      </c>
      <c r="AH217" s="32">
        <v>768</v>
      </c>
      <c r="AI217" s="32">
        <v>438</v>
      </c>
      <c r="AJ217" s="32">
        <v>1497</v>
      </c>
      <c r="AK217" s="32">
        <v>3424</v>
      </c>
      <c r="AL217" s="32">
        <v>43.7</v>
      </c>
    </row>
    <row r="218" spans="1:39" ht="13.5" hidden="1" customHeight="1">
      <c r="A218" s="30" t="s">
        <v>2272</v>
      </c>
      <c r="B218" s="30" t="s">
        <v>2273</v>
      </c>
      <c r="C218" s="30" t="s">
        <v>235</v>
      </c>
      <c r="D218" s="30" t="s">
        <v>2012</v>
      </c>
      <c r="E218" s="30" t="s">
        <v>2022</v>
      </c>
      <c r="F218" s="30" t="s">
        <v>2023</v>
      </c>
      <c r="G218" s="30"/>
      <c r="H218" s="30" t="s">
        <v>2362</v>
      </c>
      <c r="I218" s="30" t="s">
        <v>2015</v>
      </c>
      <c r="J218" s="30" t="s">
        <v>2015</v>
      </c>
      <c r="K218" s="30" t="s">
        <v>2099</v>
      </c>
      <c r="L218" s="30" t="s">
        <v>2017</v>
      </c>
      <c r="M218" s="30" t="s">
        <v>2018</v>
      </c>
      <c r="N218" s="30" t="s">
        <v>2099</v>
      </c>
      <c r="O218" s="30" t="s">
        <v>2100</v>
      </c>
      <c r="P218" s="32">
        <v>7159</v>
      </c>
      <c r="Q218" s="32">
        <v>2945</v>
      </c>
      <c r="R218" s="32">
        <v>455</v>
      </c>
      <c r="S218" s="32">
        <v>171</v>
      </c>
      <c r="T218" s="32">
        <v>85</v>
      </c>
      <c r="U218" s="32">
        <v>296</v>
      </c>
      <c r="V218" s="32">
        <v>171</v>
      </c>
      <c r="W218" s="32">
        <v>69</v>
      </c>
      <c r="X218" s="32">
        <v>751</v>
      </c>
      <c r="Y218" s="32">
        <v>342</v>
      </c>
      <c r="Z218" s="32">
        <v>154</v>
      </c>
      <c r="AA218" s="32">
        <v>1445</v>
      </c>
      <c r="AB218" s="32">
        <v>553</v>
      </c>
      <c r="AC218" s="32">
        <v>273</v>
      </c>
      <c r="AD218" s="32">
        <v>385</v>
      </c>
      <c r="AE218" s="32">
        <v>222</v>
      </c>
      <c r="AF218" s="32">
        <v>88</v>
      </c>
      <c r="AG218" s="32">
        <v>1830</v>
      </c>
      <c r="AH218" s="32">
        <v>775</v>
      </c>
      <c r="AI218" s="32">
        <v>361</v>
      </c>
      <c r="AJ218" s="32">
        <v>1830</v>
      </c>
      <c r="AK218" s="32">
        <v>7146</v>
      </c>
      <c r="AL218" s="32">
        <v>25.6</v>
      </c>
    </row>
    <row r="219" spans="1:39" ht="13.5" hidden="1" customHeight="1">
      <c r="A219" s="30" t="s">
        <v>2272</v>
      </c>
      <c r="B219" s="30" t="s">
        <v>2273</v>
      </c>
      <c r="C219" s="30" t="s">
        <v>235</v>
      </c>
      <c r="D219" s="30" t="s">
        <v>2012</v>
      </c>
      <c r="E219" s="30" t="s">
        <v>2022</v>
      </c>
      <c r="F219" s="30" t="s">
        <v>2023</v>
      </c>
      <c r="G219" s="30"/>
      <c r="H219" s="30" t="s">
        <v>2363</v>
      </c>
      <c r="I219" s="30" t="s">
        <v>2015</v>
      </c>
      <c r="J219" s="30" t="s">
        <v>2015</v>
      </c>
      <c r="K219" s="30" t="s">
        <v>2099</v>
      </c>
      <c r="L219" s="30" t="s">
        <v>2017</v>
      </c>
      <c r="M219" s="30" t="s">
        <v>2018</v>
      </c>
      <c r="N219" s="30" t="s">
        <v>2099</v>
      </c>
      <c r="O219" s="30" t="s">
        <v>2100</v>
      </c>
      <c r="P219" s="32">
        <v>10310</v>
      </c>
      <c r="Q219" s="32">
        <v>4169</v>
      </c>
      <c r="R219" s="32">
        <v>549</v>
      </c>
      <c r="S219" s="32">
        <v>212</v>
      </c>
      <c r="T219" s="32">
        <v>63</v>
      </c>
      <c r="U219" s="32">
        <v>561</v>
      </c>
      <c r="V219" s="32">
        <v>342</v>
      </c>
      <c r="W219" s="32">
        <v>206</v>
      </c>
      <c r="X219" s="32">
        <v>1110</v>
      </c>
      <c r="Y219" s="32">
        <v>554</v>
      </c>
      <c r="Z219" s="32">
        <v>269</v>
      </c>
      <c r="AA219" s="32">
        <v>1684</v>
      </c>
      <c r="AB219" s="32">
        <v>661</v>
      </c>
      <c r="AC219" s="32">
        <v>193</v>
      </c>
      <c r="AD219" s="32">
        <v>703</v>
      </c>
      <c r="AE219" s="32">
        <v>429</v>
      </c>
      <c r="AF219" s="32">
        <v>263</v>
      </c>
      <c r="AG219" s="32">
        <v>2387</v>
      </c>
      <c r="AH219" s="32">
        <v>1090</v>
      </c>
      <c r="AI219" s="32">
        <v>456</v>
      </c>
      <c r="AJ219" s="32">
        <v>2387</v>
      </c>
      <c r="AK219" s="32">
        <v>10092</v>
      </c>
      <c r="AL219" s="32">
        <v>23.7</v>
      </c>
    </row>
    <row r="220" spans="1:39" ht="13.5" hidden="1" customHeight="1">
      <c r="A220" s="30" t="s">
        <v>2272</v>
      </c>
      <c r="B220" s="30" t="s">
        <v>2273</v>
      </c>
      <c r="C220" s="30" t="s">
        <v>235</v>
      </c>
      <c r="D220" s="30" t="s">
        <v>2012</v>
      </c>
      <c r="E220" s="30" t="s">
        <v>2022</v>
      </c>
      <c r="F220" s="30" t="s">
        <v>2023</v>
      </c>
      <c r="G220" s="30"/>
      <c r="H220" s="30" t="s">
        <v>2364</v>
      </c>
      <c r="I220" s="30" t="s">
        <v>2015</v>
      </c>
      <c r="J220" s="30" t="s">
        <v>2015</v>
      </c>
      <c r="K220" s="30" t="s">
        <v>2099</v>
      </c>
      <c r="L220" s="30" t="s">
        <v>2017</v>
      </c>
      <c r="M220" s="30" t="s">
        <v>2018</v>
      </c>
      <c r="N220" s="30" t="s">
        <v>2099</v>
      </c>
      <c r="O220" s="30" t="s">
        <v>2100</v>
      </c>
      <c r="P220" s="32">
        <v>7800</v>
      </c>
      <c r="Q220" s="32">
        <v>3276</v>
      </c>
      <c r="R220" s="32">
        <v>693</v>
      </c>
      <c r="S220" s="32">
        <v>329</v>
      </c>
      <c r="T220" s="32">
        <v>158</v>
      </c>
      <c r="U220" s="32">
        <v>555</v>
      </c>
      <c r="V220" s="32">
        <v>408</v>
      </c>
      <c r="W220" s="32">
        <v>191</v>
      </c>
      <c r="X220" s="32">
        <v>1248</v>
      </c>
      <c r="Y220" s="32">
        <v>737</v>
      </c>
      <c r="Z220" s="32">
        <v>349</v>
      </c>
      <c r="AA220" s="32">
        <v>2098</v>
      </c>
      <c r="AB220" s="32">
        <v>990</v>
      </c>
      <c r="AC220" s="32">
        <v>470</v>
      </c>
      <c r="AD220" s="32">
        <v>663</v>
      </c>
      <c r="AE220" s="32">
        <v>488</v>
      </c>
      <c r="AF220" s="32">
        <v>229</v>
      </c>
      <c r="AG220" s="32">
        <v>2761</v>
      </c>
      <c r="AH220" s="32">
        <v>1478</v>
      </c>
      <c r="AI220" s="32">
        <v>699</v>
      </c>
      <c r="AJ220" s="32">
        <v>2761</v>
      </c>
      <c r="AK220" s="32">
        <v>7621</v>
      </c>
      <c r="AL220" s="32">
        <v>36.200000000000003</v>
      </c>
    </row>
    <row r="221" spans="1:39" ht="13.5" hidden="1" customHeight="1">
      <c r="A221" s="30" t="s">
        <v>2272</v>
      </c>
      <c r="B221" s="30" t="s">
        <v>2273</v>
      </c>
      <c r="C221" s="30" t="s">
        <v>235</v>
      </c>
      <c r="D221" s="30" t="s">
        <v>2012</v>
      </c>
      <c r="E221" s="30" t="s">
        <v>2022</v>
      </c>
      <c r="F221" s="30" t="s">
        <v>2023</v>
      </c>
      <c r="G221" s="30"/>
      <c r="H221" s="30" t="s">
        <v>2365</v>
      </c>
      <c r="I221" s="30" t="s">
        <v>2015</v>
      </c>
      <c r="J221" s="30" t="s">
        <v>2015</v>
      </c>
      <c r="K221" s="30" t="s">
        <v>2099</v>
      </c>
      <c r="L221" s="30" t="s">
        <v>2017</v>
      </c>
      <c r="M221" s="30" t="s">
        <v>2018</v>
      </c>
      <c r="N221" s="30" t="s">
        <v>2099</v>
      </c>
      <c r="O221" s="30" t="s">
        <v>2100</v>
      </c>
      <c r="P221" s="32">
        <v>0</v>
      </c>
      <c r="Q221" s="32">
        <v>366</v>
      </c>
      <c r="R221" s="32">
        <v>0</v>
      </c>
      <c r="S221" s="32">
        <v>0</v>
      </c>
      <c r="T221" s="32">
        <v>0</v>
      </c>
      <c r="U221" s="32">
        <v>0</v>
      </c>
      <c r="V221" s="32">
        <v>0</v>
      </c>
      <c r="W221" s="32">
        <v>0</v>
      </c>
      <c r="X221" s="32">
        <v>0</v>
      </c>
      <c r="Y221" s="32">
        <v>0</v>
      </c>
      <c r="Z221" s="32">
        <v>0</v>
      </c>
      <c r="AA221" s="32">
        <v>0</v>
      </c>
      <c r="AB221" s="32">
        <v>0</v>
      </c>
      <c r="AC221" s="32">
        <v>0</v>
      </c>
      <c r="AD221" s="32">
        <v>0</v>
      </c>
      <c r="AE221" s="32">
        <v>0</v>
      </c>
      <c r="AF221" s="32">
        <v>0</v>
      </c>
      <c r="AG221" s="32">
        <v>0</v>
      </c>
      <c r="AH221" s="32">
        <v>0</v>
      </c>
      <c r="AI221" s="32">
        <v>0</v>
      </c>
      <c r="AJ221" s="32">
        <v>0</v>
      </c>
      <c r="AK221" s="32">
        <v>0</v>
      </c>
      <c r="AL221" s="32">
        <v>0</v>
      </c>
    </row>
    <row r="222" spans="1:39" ht="13.5" hidden="1" customHeight="1">
      <c r="A222" s="30" t="s">
        <v>2272</v>
      </c>
      <c r="B222" s="30" t="s">
        <v>2273</v>
      </c>
      <c r="C222" s="30" t="s">
        <v>235</v>
      </c>
      <c r="D222" s="30" t="s">
        <v>2012</v>
      </c>
      <c r="E222" s="30" t="s">
        <v>2022</v>
      </c>
      <c r="F222" s="30" t="s">
        <v>2023</v>
      </c>
      <c r="G222" s="30"/>
      <c r="H222" s="30" t="s">
        <v>2366</v>
      </c>
      <c r="I222" s="30" t="s">
        <v>2015</v>
      </c>
      <c r="J222" s="30" t="s">
        <v>2015</v>
      </c>
      <c r="K222" s="30" t="s">
        <v>2099</v>
      </c>
      <c r="L222" s="30" t="s">
        <v>2017</v>
      </c>
      <c r="M222" s="30" t="s">
        <v>2018</v>
      </c>
      <c r="N222" s="30" t="s">
        <v>2099</v>
      </c>
      <c r="O222" s="30" t="s">
        <v>2100</v>
      </c>
      <c r="P222" s="32">
        <v>14141</v>
      </c>
      <c r="Q222" s="32">
        <v>5051</v>
      </c>
      <c r="R222" s="32">
        <v>1264</v>
      </c>
      <c r="S222" s="32">
        <v>596</v>
      </c>
      <c r="T222" s="32">
        <v>269</v>
      </c>
      <c r="U222" s="32">
        <v>758</v>
      </c>
      <c r="V222" s="32">
        <v>534</v>
      </c>
      <c r="W222" s="32">
        <v>304</v>
      </c>
      <c r="X222" s="32">
        <v>2022</v>
      </c>
      <c r="Y222" s="32">
        <v>1130</v>
      </c>
      <c r="Z222" s="32">
        <v>573</v>
      </c>
      <c r="AA222" s="32">
        <v>3997</v>
      </c>
      <c r="AB222" s="32">
        <v>1882</v>
      </c>
      <c r="AC222" s="32">
        <v>844</v>
      </c>
      <c r="AD222" s="32">
        <v>948</v>
      </c>
      <c r="AE222" s="32">
        <v>655</v>
      </c>
      <c r="AF222" s="32">
        <v>365</v>
      </c>
      <c r="AG222" s="32">
        <v>4945</v>
      </c>
      <c r="AH222" s="32">
        <v>2537</v>
      </c>
      <c r="AI222" s="32">
        <v>1209</v>
      </c>
      <c r="AJ222" s="32">
        <v>4945</v>
      </c>
      <c r="AK222" s="32">
        <v>13009</v>
      </c>
      <c r="AL222" s="32">
        <v>38</v>
      </c>
    </row>
    <row r="223" spans="1:39" ht="13.5" hidden="1" customHeight="1">
      <c r="A223" s="30" t="s">
        <v>2272</v>
      </c>
      <c r="B223" s="30" t="s">
        <v>2273</v>
      </c>
      <c r="C223" s="30" t="s">
        <v>235</v>
      </c>
      <c r="D223" s="30" t="s">
        <v>2012</v>
      </c>
      <c r="E223" s="30" t="s">
        <v>2022</v>
      </c>
      <c r="F223" s="30" t="s">
        <v>2023</v>
      </c>
      <c r="G223" s="30"/>
      <c r="H223" s="30" t="s">
        <v>2367</v>
      </c>
      <c r="I223" s="30" t="s">
        <v>2015</v>
      </c>
      <c r="J223" s="30" t="s">
        <v>2015</v>
      </c>
      <c r="K223" s="30" t="s">
        <v>2099</v>
      </c>
      <c r="L223" s="30" t="s">
        <v>2017</v>
      </c>
      <c r="M223" s="30" t="s">
        <v>2018</v>
      </c>
      <c r="N223" s="30" t="s">
        <v>2099</v>
      </c>
      <c r="O223" s="30" t="s">
        <v>2100</v>
      </c>
      <c r="P223" s="32">
        <v>6820</v>
      </c>
      <c r="Q223" s="32">
        <v>3202</v>
      </c>
      <c r="R223" s="32">
        <v>519</v>
      </c>
      <c r="S223" s="32">
        <v>172</v>
      </c>
      <c r="T223" s="32">
        <v>54</v>
      </c>
      <c r="U223" s="32">
        <v>383</v>
      </c>
      <c r="V223" s="32">
        <v>238</v>
      </c>
      <c r="W223" s="32">
        <v>125</v>
      </c>
      <c r="X223" s="32">
        <v>902</v>
      </c>
      <c r="Y223" s="32">
        <v>410</v>
      </c>
      <c r="Z223" s="32">
        <v>179</v>
      </c>
      <c r="AA223" s="32">
        <v>1619</v>
      </c>
      <c r="AB223" s="32">
        <v>552</v>
      </c>
      <c r="AC223" s="32">
        <v>173</v>
      </c>
      <c r="AD223" s="32">
        <v>516</v>
      </c>
      <c r="AE223" s="32">
        <v>319</v>
      </c>
      <c r="AF223" s="32">
        <v>168</v>
      </c>
      <c r="AG223" s="32">
        <v>2135</v>
      </c>
      <c r="AH223" s="32">
        <v>871</v>
      </c>
      <c r="AI223" s="32">
        <v>341</v>
      </c>
      <c r="AJ223" s="32">
        <v>2135</v>
      </c>
      <c r="AK223" s="32">
        <v>6785</v>
      </c>
      <c r="AL223" s="32">
        <v>31.5</v>
      </c>
    </row>
    <row r="224" spans="1:39" ht="13.5" hidden="1" customHeight="1">
      <c r="A224" s="30" t="s">
        <v>2272</v>
      </c>
      <c r="B224" s="30" t="s">
        <v>2273</v>
      </c>
      <c r="C224" s="30" t="s">
        <v>235</v>
      </c>
      <c r="D224" s="30" t="s">
        <v>2012</v>
      </c>
      <c r="E224" s="30" t="s">
        <v>2022</v>
      </c>
      <c r="F224" s="30" t="s">
        <v>2023</v>
      </c>
      <c r="G224" s="30"/>
      <c r="H224" s="30" t="s">
        <v>2368</v>
      </c>
      <c r="I224" s="30" t="s">
        <v>2015</v>
      </c>
      <c r="J224" s="30" t="s">
        <v>2015</v>
      </c>
      <c r="K224" s="30" t="s">
        <v>2018</v>
      </c>
      <c r="L224" s="30" t="s">
        <v>2017</v>
      </c>
      <c r="M224" s="30" t="s">
        <v>2018</v>
      </c>
      <c r="N224" s="30" t="s">
        <v>2018</v>
      </c>
      <c r="O224" s="30" t="s">
        <v>2015</v>
      </c>
      <c r="P224" s="32">
        <v>5239</v>
      </c>
      <c r="Q224" s="32">
        <v>3701</v>
      </c>
      <c r="R224" s="32">
        <v>450</v>
      </c>
      <c r="S224" s="32">
        <v>184</v>
      </c>
      <c r="T224" s="32">
        <v>65</v>
      </c>
      <c r="U224" s="32">
        <v>461</v>
      </c>
      <c r="V224" s="32">
        <v>306</v>
      </c>
      <c r="W224" s="32">
        <v>162</v>
      </c>
      <c r="X224" s="32">
        <v>911</v>
      </c>
      <c r="Y224" s="32">
        <v>490</v>
      </c>
      <c r="Z224" s="32">
        <v>227</v>
      </c>
      <c r="AA224" s="32">
        <v>1258</v>
      </c>
      <c r="AB224" s="32">
        <v>513</v>
      </c>
      <c r="AC224" s="32">
        <v>180</v>
      </c>
      <c r="AD224" s="32">
        <v>594</v>
      </c>
      <c r="AE224" s="32">
        <v>391</v>
      </c>
      <c r="AF224" s="32">
        <v>206</v>
      </c>
      <c r="AG224" s="32">
        <v>1852</v>
      </c>
      <c r="AH224" s="32">
        <v>904</v>
      </c>
      <c r="AI224" s="32">
        <v>386</v>
      </c>
      <c r="AJ224" s="32">
        <v>1852</v>
      </c>
      <c r="AK224" s="32">
        <v>5235</v>
      </c>
      <c r="AL224" s="32">
        <v>35.4</v>
      </c>
    </row>
    <row r="225" spans="1:38" ht="13.5" hidden="1" customHeight="1">
      <c r="A225" s="30" t="s">
        <v>2272</v>
      </c>
      <c r="B225" s="30" t="s">
        <v>2273</v>
      </c>
      <c r="C225" s="30" t="s">
        <v>235</v>
      </c>
      <c r="D225" s="30" t="s">
        <v>2012</v>
      </c>
      <c r="E225" s="30" t="s">
        <v>2022</v>
      </c>
      <c r="F225" s="30" t="s">
        <v>2023</v>
      </c>
      <c r="G225" s="30"/>
      <c r="H225" s="30" t="s">
        <v>2369</v>
      </c>
      <c r="I225" s="30" t="s">
        <v>2015</v>
      </c>
      <c r="J225" s="30" t="s">
        <v>2015</v>
      </c>
      <c r="K225" s="30" t="s">
        <v>2018</v>
      </c>
      <c r="L225" s="30" t="s">
        <v>2017</v>
      </c>
      <c r="M225" s="30" t="s">
        <v>2018</v>
      </c>
      <c r="N225" s="30" t="s">
        <v>2018</v>
      </c>
      <c r="O225" s="30" t="s">
        <v>2015</v>
      </c>
      <c r="P225" s="32">
        <v>2315</v>
      </c>
      <c r="Q225" s="32">
        <v>1430</v>
      </c>
      <c r="R225" s="32">
        <v>283</v>
      </c>
      <c r="S225" s="32">
        <v>144</v>
      </c>
      <c r="T225" s="32">
        <v>48</v>
      </c>
      <c r="U225" s="32">
        <v>155</v>
      </c>
      <c r="V225" s="32">
        <v>88</v>
      </c>
      <c r="W225" s="32">
        <v>55</v>
      </c>
      <c r="X225" s="32">
        <v>438</v>
      </c>
      <c r="Y225" s="32">
        <v>232</v>
      </c>
      <c r="Z225" s="32">
        <v>103</v>
      </c>
      <c r="AA225" s="32">
        <v>861</v>
      </c>
      <c r="AB225" s="32">
        <v>437</v>
      </c>
      <c r="AC225" s="32">
        <v>144</v>
      </c>
      <c r="AD225" s="32">
        <v>198</v>
      </c>
      <c r="AE225" s="32">
        <v>112</v>
      </c>
      <c r="AF225" s="32">
        <v>70</v>
      </c>
      <c r="AG225" s="32">
        <v>1059</v>
      </c>
      <c r="AH225" s="32">
        <v>549</v>
      </c>
      <c r="AI225" s="32">
        <v>214</v>
      </c>
      <c r="AJ225" s="32">
        <v>1059</v>
      </c>
      <c r="AK225" s="32">
        <v>2315</v>
      </c>
      <c r="AL225" s="32">
        <v>45.7</v>
      </c>
    </row>
    <row r="226" spans="1:38" ht="13.5" hidden="1" customHeight="1">
      <c r="A226" s="30" t="s">
        <v>2272</v>
      </c>
      <c r="B226" s="30" t="s">
        <v>2273</v>
      </c>
      <c r="C226" s="30" t="s">
        <v>235</v>
      </c>
      <c r="D226" s="30" t="s">
        <v>2012</v>
      </c>
      <c r="E226" s="30" t="s">
        <v>2022</v>
      </c>
      <c r="F226" s="30" t="s">
        <v>2023</v>
      </c>
      <c r="G226" s="30"/>
      <c r="H226" s="30" t="s">
        <v>2370</v>
      </c>
      <c r="I226" s="30" t="s">
        <v>2015</v>
      </c>
      <c r="J226" s="30" t="s">
        <v>2015</v>
      </c>
      <c r="K226" s="30" t="s">
        <v>2099</v>
      </c>
      <c r="L226" s="30" t="s">
        <v>2017</v>
      </c>
      <c r="M226" s="30" t="s">
        <v>2018</v>
      </c>
      <c r="N226" s="30" t="s">
        <v>2099</v>
      </c>
      <c r="O226" s="30" t="s">
        <v>2100</v>
      </c>
      <c r="P226" s="32">
        <v>202</v>
      </c>
      <c r="Q226" s="32">
        <v>353</v>
      </c>
      <c r="R226" s="32">
        <v>28</v>
      </c>
      <c r="S226" s="32">
        <v>20</v>
      </c>
      <c r="T226" s="32">
        <v>8</v>
      </c>
      <c r="U226" s="32">
        <v>17</v>
      </c>
      <c r="V226" s="32">
        <v>10</v>
      </c>
      <c r="W226" s="32">
        <v>9</v>
      </c>
      <c r="X226" s="32">
        <v>45</v>
      </c>
      <c r="Y226" s="32">
        <v>30</v>
      </c>
      <c r="Z226" s="32">
        <v>17</v>
      </c>
      <c r="AA226" s="32">
        <v>81</v>
      </c>
      <c r="AB226" s="32">
        <v>58</v>
      </c>
      <c r="AC226" s="32">
        <v>23</v>
      </c>
      <c r="AD226" s="32">
        <v>19</v>
      </c>
      <c r="AE226" s="32">
        <v>11</v>
      </c>
      <c r="AF226" s="32">
        <v>10</v>
      </c>
      <c r="AG226" s="32">
        <v>100</v>
      </c>
      <c r="AH226" s="32">
        <v>69</v>
      </c>
      <c r="AI226" s="32">
        <v>33</v>
      </c>
      <c r="AJ226" s="32">
        <v>100</v>
      </c>
      <c r="AK226" s="32">
        <v>201</v>
      </c>
      <c r="AL226" s="32">
        <v>49.8</v>
      </c>
    </row>
    <row r="227" spans="1:38" ht="13.5" hidden="1" customHeight="1">
      <c r="A227" s="30" t="s">
        <v>2272</v>
      </c>
      <c r="B227" s="30" t="s">
        <v>2273</v>
      </c>
      <c r="C227" s="30" t="s">
        <v>235</v>
      </c>
      <c r="D227" s="30" t="s">
        <v>2012</v>
      </c>
      <c r="E227" s="30" t="s">
        <v>2022</v>
      </c>
      <c r="F227" s="30" t="s">
        <v>2023</v>
      </c>
      <c r="G227" s="30"/>
      <c r="H227" s="30" t="s">
        <v>2371</v>
      </c>
      <c r="I227" s="30" t="s">
        <v>2015</v>
      </c>
      <c r="J227" s="30" t="s">
        <v>2015</v>
      </c>
      <c r="K227" s="30" t="s">
        <v>2018</v>
      </c>
      <c r="L227" s="30" t="s">
        <v>2017</v>
      </c>
      <c r="M227" s="30" t="s">
        <v>2018</v>
      </c>
      <c r="N227" s="30" t="s">
        <v>2018</v>
      </c>
      <c r="O227" s="30" t="s">
        <v>2015</v>
      </c>
      <c r="P227" s="32">
        <v>3274</v>
      </c>
      <c r="Q227" s="32">
        <v>2381</v>
      </c>
      <c r="R227" s="32">
        <v>383</v>
      </c>
      <c r="S227" s="32">
        <v>195</v>
      </c>
      <c r="T227" s="32">
        <v>62</v>
      </c>
      <c r="U227" s="32">
        <v>185</v>
      </c>
      <c r="V227" s="32">
        <v>113</v>
      </c>
      <c r="W227" s="32">
        <v>56</v>
      </c>
      <c r="X227" s="32">
        <v>568</v>
      </c>
      <c r="Y227" s="32">
        <v>308</v>
      </c>
      <c r="Z227" s="32">
        <v>118</v>
      </c>
      <c r="AA227" s="32">
        <v>1149</v>
      </c>
      <c r="AB227" s="32">
        <v>585</v>
      </c>
      <c r="AC227" s="32">
        <v>186</v>
      </c>
      <c r="AD227" s="32">
        <v>204</v>
      </c>
      <c r="AE227" s="32">
        <v>124</v>
      </c>
      <c r="AF227" s="32">
        <v>61</v>
      </c>
      <c r="AG227" s="32">
        <v>1353</v>
      </c>
      <c r="AH227" s="32">
        <v>709</v>
      </c>
      <c r="AI227" s="32">
        <v>247</v>
      </c>
      <c r="AJ227" s="32">
        <v>1353</v>
      </c>
      <c r="AK227" s="32">
        <v>3266</v>
      </c>
      <c r="AL227" s="32">
        <v>41.4</v>
      </c>
    </row>
    <row r="228" spans="1:38" ht="13.5" hidden="1" customHeight="1">
      <c r="A228" s="30" t="s">
        <v>2272</v>
      </c>
      <c r="B228" s="30" t="s">
        <v>2273</v>
      </c>
      <c r="C228" s="30" t="s">
        <v>235</v>
      </c>
      <c r="D228" s="30" t="s">
        <v>2012</v>
      </c>
      <c r="E228" s="30" t="s">
        <v>2022</v>
      </c>
      <c r="F228" s="30" t="s">
        <v>2023</v>
      </c>
      <c r="G228" s="30"/>
      <c r="H228" s="30" t="s">
        <v>2372</v>
      </c>
      <c r="I228" s="30" t="s">
        <v>2015</v>
      </c>
      <c r="J228" s="30" t="s">
        <v>2015</v>
      </c>
      <c r="K228" s="30" t="s">
        <v>2018</v>
      </c>
      <c r="L228" s="30" t="s">
        <v>2017</v>
      </c>
      <c r="M228" s="30" t="s">
        <v>2018</v>
      </c>
      <c r="N228" s="30" t="s">
        <v>2018</v>
      </c>
      <c r="O228" s="30" t="s">
        <v>2015</v>
      </c>
      <c r="P228" s="32">
        <v>4803</v>
      </c>
      <c r="Q228" s="32">
        <v>1889</v>
      </c>
      <c r="R228" s="32">
        <v>358</v>
      </c>
      <c r="S228" s="32">
        <v>136</v>
      </c>
      <c r="T228" s="32">
        <v>60</v>
      </c>
      <c r="U228" s="32">
        <v>259</v>
      </c>
      <c r="V228" s="32">
        <v>146</v>
      </c>
      <c r="W228" s="32">
        <v>50</v>
      </c>
      <c r="X228" s="32">
        <v>617</v>
      </c>
      <c r="Y228" s="32">
        <v>282</v>
      </c>
      <c r="Z228" s="32">
        <v>110</v>
      </c>
      <c r="AA228" s="32">
        <v>1133</v>
      </c>
      <c r="AB228" s="32">
        <v>433</v>
      </c>
      <c r="AC228" s="32">
        <v>195</v>
      </c>
      <c r="AD228" s="32">
        <v>341</v>
      </c>
      <c r="AE228" s="32">
        <v>194</v>
      </c>
      <c r="AF228" s="32">
        <v>66</v>
      </c>
      <c r="AG228" s="32">
        <v>1474</v>
      </c>
      <c r="AH228" s="32">
        <v>627</v>
      </c>
      <c r="AI228" s="32">
        <v>261</v>
      </c>
      <c r="AJ228" s="32">
        <v>1474</v>
      </c>
      <c r="AK228" s="32">
        <v>4780</v>
      </c>
      <c r="AL228" s="32">
        <v>30.8</v>
      </c>
    </row>
    <row r="229" spans="1:38" ht="13.5" hidden="1" customHeight="1">
      <c r="A229" s="30" t="s">
        <v>2272</v>
      </c>
      <c r="B229" s="30" t="s">
        <v>2273</v>
      </c>
      <c r="C229" s="30" t="s">
        <v>235</v>
      </c>
      <c r="D229" s="30" t="s">
        <v>2012</v>
      </c>
      <c r="E229" s="30" t="s">
        <v>2022</v>
      </c>
      <c r="F229" s="30" t="s">
        <v>2023</v>
      </c>
      <c r="G229" s="30"/>
      <c r="H229" s="30" t="s">
        <v>2373</v>
      </c>
      <c r="I229" s="30" t="s">
        <v>2015</v>
      </c>
      <c r="J229" s="30" t="s">
        <v>2015</v>
      </c>
      <c r="K229" s="30" t="s">
        <v>2099</v>
      </c>
      <c r="L229" s="30" t="s">
        <v>2017</v>
      </c>
      <c r="M229" s="30" t="s">
        <v>2018</v>
      </c>
      <c r="N229" s="30" t="s">
        <v>2099</v>
      </c>
      <c r="O229" s="30" t="s">
        <v>2100</v>
      </c>
      <c r="P229" s="32">
        <v>3210</v>
      </c>
      <c r="Q229" s="32">
        <v>1142</v>
      </c>
      <c r="R229" s="32">
        <v>253</v>
      </c>
      <c r="S229" s="32">
        <v>53</v>
      </c>
      <c r="T229" s="32">
        <v>18</v>
      </c>
      <c r="U229" s="32">
        <v>118</v>
      </c>
      <c r="V229" s="32">
        <v>69</v>
      </c>
      <c r="W229" s="32">
        <v>33</v>
      </c>
      <c r="X229" s="32">
        <v>371</v>
      </c>
      <c r="Y229" s="32">
        <v>122</v>
      </c>
      <c r="Z229" s="32">
        <v>51</v>
      </c>
      <c r="AA229" s="32">
        <v>790</v>
      </c>
      <c r="AB229" s="32">
        <v>168</v>
      </c>
      <c r="AC229" s="32">
        <v>57</v>
      </c>
      <c r="AD229" s="32">
        <v>157</v>
      </c>
      <c r="AE229" s="32">
        <v>100</v>
      </c>
      <c r="AF229" s="32">
        <v>38</v>
      </c>
      <c r="AG229" s="32">
        <v>947</v>
      </c>
      <c r="AH229" s="32">
        <v>268</v>
      </c>
      <c r="AI229" s="32">
        <v>95</v>
      </c>
      <c r="AJ229" s="32">
        <v>947</v>
      </c>
      <c r="AK229" s="32">
        <v>3210</v>
      </c>
      <c r="AL229" s="32">
        <v>29.5</v>
      </c>
    </row>
    <row r="230" spans="1:38" ht="13.5" hidden="1" customHeight="1">
      <c r="A230" s="30" t="s">
        <v>2272</v>
      </c>
      <c r="B230" s="30" t="s">
        <v>2273</v>
      </c>
      <c r="C230" s="30" t="s">
        <v>235</v>
      </c>
      <c r="D230" s="30" t="s">
        <v>2012</v>
      </c>
      <c r="E230" s="30" t="s">
        <v>2022</v>
      </c>
      <c r="F230" s="30" t="s">
        <v>2023</v>
      </c>
      <c r="G230" s="30"/>
      <c r="H230" s="30" t="s">
        <v>2374</v>
      </c>
      <c r="I230" s="30" t="s">
        <v>2015</v>
      </c>
      <c r="J230" s="30" t="s">
        <v>2015</v>
      </c>
      <c r="K230" s="30" t="s">
        <v>2018</v>
      </c>
      <c r="L230" s="30" t="s">
        <v>2017</v>
      </c>
      <c r="M230" s="30" t="s">
        <v>2018</v>
      </c>
      <c r="N230" s="30" t="s">
        <v>2018</v>
      </c>
      <c r="O230" s="30" t="s">
        <v>2015</v>
      </c>
      <c r="P230" s="32">
        <v>1491</v>
      </c>
      <c r="Q230" s="32">
        <v>567</v>
      </c>
      <c r="R230" s="32">
        <v>95</v>
      </c>
      <c r="S230" s="32">
        <v>49</v>
      </c>
      <c r="T230" s="32">
        <v>18</v>
      </c>
      <c r="U230" s="32">
        <v>60</v>
      </c>
      <c r="V230" s="32">
        <v>29</v>
      </c>
      <c r="W230" s="32">
        <v>12</v>
      </c>
      <c r="X230" s="32">
        <v>155</v>
      </c>
      <c r="Y230" s="32">
        <v>78</v>
      </c>
      <c r="Z230" s="32">
        <v>30</v>
      </c>
      <c r="AA230" s="32">
        <v>276</v>
      </c>
      <c r="AB230" s="32">
        <v>142</v>
      </c>
      <c r="AC230" s="32">
        <v>52</v>
      </c>
      <c r="AD230" s="32">
        <v>72</v>
      </c>
      <c r="AE230" s="32">
        <v>35</v>
      </c>
      <c r="AF230" s="32">
        <v>14</v>
      </c>
      <c r="AG230" s="32">
        <v>348</v>
      </c>
      <c r="AH230" s="32">
        <v>177</v>
      </c>
      <c r="AI230" s="32">
        <v>66</v>
      </c>
      <c r="AJ230" s="32">
        <v>348</v>
      </c>
      <c r="AK230" s="32">
        <v>1484</v>
      </c>
      <c r="AL230" s="32">
        <v>23.5</v>
      </c>
    </row>
    <row r="231" spans="1:38" ht="13.5" hidden="1" customHeight="1">
      <c r="A231" s="30" t="s">
        <v>2272</v>
      </c>
      <c r="B231" s="30" t="s">
        <v>2273</v>
      </c>
      <c r="C231" s="30" t="s">
        <v>235</v>
      </c>
      <c r="D231" s="30" t="s">
        <v>2012</v>
      </c>
      <c r="E231" s="30" t="s">
        <v>2022</v>
      </c>
      <c r="F231" s="30" t="s">
        <v>2023</v>
      </c>
      <c r="G231" s="30"/>
      <c r="H231" s="30" t="s">
        <v>2375</v>
      </c>
      <c r="I231" s="30" t="s">
        <v>2015</v>
      </c>
      <c r="J231" s="30" t="s">
        <v>2015</v>
      </c>
      <c r="K231" s="30" t="s">
        <v>2099</v>
      </c>
      <c r="L231" s="30" t="s">
        <v>2017</v>
      </c>
      <c r="M231" s="30" t="s">
        <v>2018</v>
      </c>
      <c r="N231" s="30" t="s">
        <v>2099</v>
      </c>
      <c r="O231" s="30" t="s">
        <v>2100</v>
      </c>
      <c r="P231" s="32">
        <v>4299</v>
      </c>
      <c r="Q231" s="32">
        <v>2534</v>
      </c>
      <c r="R231" s="32">
        <v>393</v>
      </c>
      <c r="S231" s="32">
        <v>151</v>
      </c>
      <c r="T231" s="32">
        <v>44</v>
      </c>
      <c r="U231" s="32">
        <v>156</v>
      </c>
      <c r="V231" s="32">
        <v>88</v>
      </c>
      <c r="W231" s="32">
        <v>50</v>
      </c>
      <c r="X231" s="32">
        <v>549</v>
      </c>
      <c r="Y231" s="32">
        <v>239</v>
      </c>
      <c r="Z231" s="32">
        <v>94</v>
      </c>
      <c r="AA231" s="32">
        <v>1251</v>
      </c>
      <c r="AB231" s="32">
        <v>478</v>
      </c>
      <c r="AC231" s="32">
        <v>134</v>
      </c>
      <c r="AD231" s="32">
        <v>213</v>
      </c>
      <c r="AE231" s="32">
        <v>119</v>
      </c>
      <c r="AF231" s="32">
        <v>68</v>
      </c>
      <c r="AG231" s="32">
        <v>1464</v>
      </c>
      <c r="AH231" s="32">
        <v>597</v>
      </c>
      <c r="AI231" s="32">
        <v>202</v>
      </c>
      <c r="AJ231" s="32">
        <v>1464</v>
      </c>
      <c r="AK231" s="32">
        <v>4298</v>
      </c>
      <c r="AL231" s="32">
        <v>34.1</v>
      </c>
    </row>
    <row r="232" spans="1:38" ht="13.5" hidden="1" customHeight="1">
      <c r="A232" s="30" t="s">
        <v>2272</v>
      </c>
      <c r="B232" s="30" t="s">
        <v>2273</v>
      </c>
      <c r="C232" s="30" t="s">
        <v>235</v>
      </c>
      <c r="D232" s="30" t="s">
        <v>2012</v>
      </c>
      <c r="E232" s="30" t="s">
        <v>2022</v>
      </c>
      <c r="F232" s="30" t="s">
        <v>2023</v>
      </c>
      <c r="G232" s="30"/>
      <c r="H232" s="30" t="s">
        <v>2376</v>
      </c>
      <c r="I232" s="30" t="s">
        <v>2015</v>
      </c>
      <c r="J232" s="30" t="s">
        <v>2015</v>
      </c>
      <c r="K232" s="30" t="s">
        <v>2099</v>
      </c>
      <c r="L232" s="30" t="s">
        <v>2017</v>
      </c>
      <c r="M232" s="30" t="s">
        <v>2018</v>
      </c>
      <c r="N232" s="30" t="s">
        <v>2099</v>
      </c>
      <c r="O232" s="30" t="s">
        <v>2100</v>
      </c>
      <c r="P232" s="32">
        <v>16970</v>
      </c>
      <c r="Q232" s="32">
        <v>7233</v>
      </c>
      <c r="R232" s="32">
        <v>1253</v>
      </c>
      <c r="S232" s="32">
        <v>509</v>
      </c>
      <c r="T232" s="32">
        <v>179</v>
      </c>
      <c r="U232" s="32">
        <v>1002</v>
      </c>
      <c r="V232" s="32">
        <v>635</v>
      </c>
      <c r="W232" s="32">
        <v>294</v>
      </c>
      <c r="X232" s="32">
        <v>2255</v>
      </c>
      <c r="Y232" s="32">
        <v>1144</v>
      </c>
      <c r="Z232" s="32">
        <v>473</v>
      </c>
      <c r="AA232" s="32">
        <v>3823</v>
      </c>
      <c r="AB232" s="32">
        <v>1558</v>
      </c>
      <c r="AC232" s="32">
        <v>546</v>
      </c>
      <c r="AD232" s="32">
        <v>1267</v>
      </c>
      <c r="AE232" s="32">
        <v>806</v>
      </c>
      <c r="AF232" s="32">
        <v>373</v>
      </c>
      <c r="AG232" s="32">
        <v>5090</v>
      </c>
      <c r="AH232" s="32">
        <v>2364</v>
      </c>
      <c r="AI232" s="32">
        <v>919</v>
      </c>
      <c r="AJ232" s="32">
        <v>5090</v>
      </c>
      <c r="AK232" s="32">
        <v>16711</v>
      </c>
      <c r="AL232" s="32">
        <v>30.5</v>
      </c>
    </row>
    <row r="233" spans="1:38" ht="13.5" hidden="1" customHeight="1">
      <c r="A233" s="30" t="s">
        <v>2272</v>
      </c>
      <c r="B233" s="30" t="s">
        <v>2273</v>
      </c>
      <c r="C233" s="30" t="s">
        <v>235</v>
      </c>
      <c r="D233" s="30" t="s">
        <v>2012</v>
      </c>
      <c r="E233" s="30" t="s">
        <v>2022</v>
      </c>
      <c r="F233" s="30" t="s">
        <v>2023</v>
      </c>
      <c r="G233" s="30"/>
      <c r="H233" s="30" t="s">
        <v>2377</v>
      </c>
      <c r="I233" s="30" t="s">
        <v>2015</v>
      </c>
      <c r="J233" s="30" t="s">
        <v>2015</v>
      </c>
      <c r="K233" s="30" t="s">
        <v>2018</v>
      </c>
      <c r="L233" s="30" t="s">
        <v>2017</v>
      </c>
      <c r="M233" s="30" t="s">
        <v>2018</v>
      </c>
      <c r="N233" s="30" t="s">
        <v>2018</v>
      </c>
      <c r="O233" s="30" t="s">
        <v>2015</v>
      </c>
      <c r="P233" s="32">
        <v>1433</v>
      </c>
      <c r="Q233" s="32">
        <v>1240</v>
      </c>
      <c r="R233" s="32">
        <v>134</v>
      </c>
      <c r="S233" s="32">
        <v>61</v>
      </c>
      <c r="T233" s="32">
        <v>24</v>
      </c>
      <c r="U233" s="32">
        <v>98</v>
      </c>
      <c r="V233" s="32">
        <v>49</v>
      </c>
      <c r="W233" s="32">
        <v>24</v>
      </c>
      <c r="X233" s="32">
        <v>232</v>
      </c>
      <c r="Y233" s="32">
        <v>110</v>
      </c>
      <c r="Z233" s="32">
        <v>48</v>
      </c>
      <c r="AA233" s="32">
        <v>390</v>
      </c>
      <c r="AB233" s="32">
        <v>178</v>
      </c>
      <c r="AC233" s="32">
        <v>69</v>
      </c>
      <c r="AD233" s="32">
        <v>120</v>
      </c>
      <c r="AE233" s="32">
        <v>59</v>
      </c>
      <c r="AF233" s="32">
        <v>30</v>
      </c>
      <c r="AG233" s="32">
        <v>510</v>
      </c>
      <c r="AH233" s="32">
        <v>237</v>
      </c>
      <c r="AI233" s="32">
        <v>99</v>
      </c>
      <c r="AJ233" s="32">
        <v>510</v>
      </c>
      <c r="AK233" s="32">
        <v>1433</v>
      </c>
      <c r="AL233" s="32">
        <v>35.6</v>
      </c>
    </row>
    <row r="234" spans="1:38" ht="13.5" hidden="1" customHeight="1">
      <c r="A234" s="30" t="s">
        <v>2272</v>
      </c>
      <c r="B234" s="30" t="s">
        <v>2273</v>
      </c>
      <c r="C234" s="30" t="s">
        <v>235</v>
      </c>
      <c r="D234" s="30" t="s">
        <v>2012</v>
      </c>
      <c r="E234" s="30" t="s">
        <v>2022</v>
      </c>
      <c r="F234" s="30" t="s">
        <v>2023</v>
      </c>
      <c r="G234" s="30"/>
      <c r="H234" s="30" t="s">
        <v>2235</v>
      </c>
      <c r="I234" s="30" t="s">
        <v>2015</v>
      </c>
      <c r="J234" s="30" t="s">
        <v>2015</v>
      </c>
      <c r="K234" s="30" t="s">
        <v>2099</v>
      </c>
      <c r="L234" s="30" t="s">
        <v>2017</v>
      </c>
      <c r="M234" s="30" t="s">
        <v>2018</v>
      </c>
      <c r="N234" s="30" t="s">
        <v>2099</v>
      </c>
      <c r="O234" s="30" t="s">
        <v>2100</v>
      </c>
      <c r="P234" s="32">
        <v>23324</v>
      </c>
      <c r="Q234" s="32">
        <v>10349</v>
      </c>
      <c r="R234" s="32">
        <v>2041</v>
      </c>
      <c r="S234" s="32">
        <v>829</v>
      </c>
      <c r="T234" s="32">
        <v>349</v>
      </c>
      <c r="U234" s="32">
        <v>2427</v>
      </c>
      <c r="V234" s="32">
        <v>1609</v>
      </c>
      <c r="W234" s="32">
        <v>860</v>
      </c>
      <c r="X234" s="32">
        <v>4468</v>
      </c>
      <c r="Y234" s="32">
        <v>2438</v>
      </c>
      <c r="Z234" s="32">
        <v>1209</v>
      </c>
      <c r="AA234" s="32">
        <v>6005</v>
      </c>
      <c r="AB234" s="32">
        <v>2431</v>
      </c>
      <c r="AC234" s="32">
        <v>1025</v>
      </c>
      <c r="AD234" s="32">
        <v>3006</v>
      </c>
      <c r="AE234" s="32">
        <v>1958</v>
      </c>
      <c r="AF234" s="32">
        <v>1039</v>
      </c>
      <c r="AG234" s="32">
        <v>9011</v>
      </c>
      <c r="AH234" s="32">
        <v>4389</v>
      </c>
      <c r="AI234" s="32">
        <v>2064</v>
      </c>
      <c r="AJ234" s="32">
        <v>9011</v>
      </c>
      <c r="AK234" s="32">
        <v>22803</v>
      </c>
      <c r="AL234" s="32">
        <v>39.5</v>
      </c>
    </row>
    <row r="235" spans="1:38" ht="13.5" hidden="1" customHeight="1">
      <c r="A235" s="30" t="s">
        <v>2272</v>
      </c>
      <c r="B235" s="30" t="s">
        <v>2273</v>
      </c>
      <c r="C235" s="30" t="s">
        <v>235</v>
      </c>
      <c r="D235" s="30" t="s">
        <v>2012</v>
      </c>
      <c r="E235" s="30" t="s">
        <v>2022</v>
      </c>
      <c r="F235" s="30" t="s">
        <v>2023</v>
      </c>
      <c r="G235" s="30"/>
      <c r="H235" s="30" t="s">
        <v>2378</v>
      </c>
      <c r="I235" s="30" t="s">
        <v>2015</v>
      </c>
      <c r="J235" s="30" t="s">
        <v>2015</v>
      </c>
      <c r="K235" s="30" t="s">
        <v>2099</v>
      </c>
      <c r="L235" s="30" t="s">
        <v>2017</v>
      </c>
      <c r="M235" s="30" t="s">
        <v>2018</v>
      </c>
      <c r="N235" s="30" t="s">
        <v>2099</v>
      </c>
      <c r="O235" s="30" t="s">
        <v>2100</v>
      </c>
      <c r="P235" s="32">
        <v>9285</v>
      </c>
      <c r="Q235" s="32">
        <v>3987</v>
      </c>
      <c r="R235" s="32">
        <v>812</v>
      </c>
      <c r="S235" s="32">
        <v>359</v>
      </c>
      <c r="T235" s="32">
        <v>100</v>
      </c>
      <c r="U235" s="32">
        <v>482</v>
      </c>
      <c r="V235" s="32">
        <v>282</v>
      </c>
      <c r="W235" s="32">
        <v>97</v>
      </c>
      <c r="X235" s="32">
        <v>1294</v>
      </c>
      <c r="Y235" s="32">
        <v>641</v>
      </c>
      <c r="Z235" s="32">
        <v>197</v>
      </c>
      <c r="AA235" s="32">
        <v>2548</v>
      </c>
      <c r="AB235" s="32">
        <v>1129</v>
      </c>
      <c r="AC235" s="32">
        <v>319</v>
      </c>
      <c r="AD235" s="32">
        <v>621</v>
      </c>
      <c r="AE235" s="32">
        <v>363</v>
      </c>
      <c r="AF235" s="32">
        <v>123</v>
      </c>
      <c r="AG235" s="32">
        <v>3169</v>
      </c>
      <c r="AH235" s="32">
        <v>1492</v>
      </c>
      <c r="AI235" s="32">
        <v>442</v>
      </c>
      <c r="AJ235" s="32">
        <v>3169</v>
      </c>
      <c r="AK235" s="32">
        <v>8693</v>
      </c>
      <c r="AL235" s="32">
        <v>36.5</v>
      </c>
    </row>
    <row r="236" spans="1:38" ht="13.5" hidden="1" customHeight="1">
      <c r="A236" s="30" t="s">
        <v>2272</v>
      </c>
      <c r="B236" s="30" t="s">
        <v>2273</v>
      </c>
      <c r="C236" s="30" t="s">
        <v>235</v>
      </c>
      <c r="D236" s="30" t="s">
        <v>2012</v>
      </c>
      <c r="E236" s="30" t="s">
        <v>2022</v>
      </c>
      <c r="F236" s="30" t="s">
        <v>2023</v>
      </c>
      <c r="G236" s="30"/>
      <c r="H236" s="30" t="s">
        <v>2253</v>
      </c>
      <c r="I236" s="30" t="s">
        <v>2015</v>
      </c>
      <c r="J236" s="30" t="s">
        <v>2015</v>
      </c>
      <c r="K236" s="30" t="s">
        <v>2099</v>
      </c>
      <c r="L236" s="30" t="s">
        <v>2017</v>
      </c>
      <c r="M236" s="30" t="s">
        <v>2018</v>
      </c>
      <c r="N236" s="30" t="s">
        <v>2099</v>
      </c>
      <c r="O236" s="30" t="s">
        <v>2100</v>
      </c>
      <c r="P236" s="32">
        <v>16142</v>
      </c>
      <c r="Q236" s="32">
        <v>7089</v>
      </c>
      <c r="R236" s="32">
        <v>1843</v>
      </c>
      <c r="S236" s="32">
        <v>898</v>
      </c>
      <c r="T236" s="32">
        <v>367</v>
      </c>
      <c r="U236" s="32">
        <v>1774</v>
      </c>
      <c r="V236" s="32">
        <v>1178</v>
      </c>
      <c r="W236" s="32">
        <v>670</v>
      </c>
      <c r="X236" s="32">
        <v>3617</v>
      </c>
      <c r="Y236" s="32">
        <v>2076</v>
      </c>
      <c r="Z236" s="32">
        <v>1037</v>
      </c>
      <c r="AA236" s="32">
        <v>5468</v>
      </c>
      <c r="AB236" s="32">
        <v>2665</v>
      </c>
      <c r="AC236" s="32">
        <v>1084</v>
      </c>
      <c r="AD236" s="32">
        <v>2160</v>
      </c>
      <c r="AE236" s="32">
        <v>1430</v>
      </c>
      <c r="AF236" s="32">
        <v>810</v>
      </c>
      <c r="AG236" s="32">
        <v>7628</v>
      </c>
      <c r="AH236" s="32">
        <v>4095</v>
      </c>
      <c r="AI236" s="32">
        <v>1894</v>
      </c>
      <c r="AJ236" s="32">
        <v>7628</v>
      </c>
      <c r="AK236" s="32">
        <v>15972</v>
      </c>
      <c r="AL236" s="32">
        <v>47.8</v>
      </c>
    </row>
    <row r="237" spans="1:38" ht="13.5" hidden="1" customHeight="1">
      <c r="A237" s="30" t="s">
        <v>2272</v>
      </c>
      <c r="B237" s="30" t="s">
        <v>2273</v>
      </c>
      <c r="C237" s="30" t="s">
        <v>235</v>
      </c>
      <c r="D237" s="30" t="s">
        <v>2012</v>
      </c>
      <c r="E237" s="30" t="s">
        <v>2022</v>
      </c>
      <c r="F237" s="30" t="s">
        <v>2023</v>
      </c>
      <c r="G237" s="30"/>
      <c r="H237" s="30" t="s">
        <v>2379</v>
      </c>
      <c r="I237" s="30" t="s">
        <v>2015</v>
      </c>
      <c r="J237" s="30" t="s">
        <v>2015</v>
      </c>
      <c r="K237" s="30" t="s">
        <v>2099</v>
      </c>
      <c r="L237" s="30" t="s">
        <v>2017</v>
      </c>
      <c r="M237" s="30" t="s">
        <v>2018</v>
      </c>
      <c r="N237" s="30" t="s">
        <v>2099</v>
      </c>
      <c r="O237" s="30" t="s">
        <v>2100</v>
      </c>
      <c r="P237" s="32">
        <v>14904</v>
      </c>
      <c r="Q237" s="32">
        <v>6088</v>
      </c>
      <c r="R237" s="32">
        <v>1417</v>
      </c>
      <c r="S237" s="32">
        <v>565</v>
      </c>
      <c r="T237" s="32">
        <v>192</v>
      </c>
      <c r="U237" s="32">
        <v>1000</v>
      </c>
      <c r="V237" s="32">
        <v>574</v>
      </c>
      <c r="W237" s="32">
        <v>260</v>
      </c>
      <c r="X237" s="32">
        <v>2417</v>
      </c>
      <c r="Y237" s="32">
        <v>1139</v>
      </c>
      <c r="Z237" s="32">
        <v>452</v>
      </c>
      <c r="AA237" s="32">
        <v>4339</v>
      </c>
      <c r="AB237" s="32">
        <v>1715</v>
      </c>
      <c r="AC237" s="32">
        <v>601</v>
      </c>
      <c r="AD237" s="32">
        <v>1295</v>
      </c>
      <c r="AE237" s="32">
        <v>740</v>
      </c>
      <c r="AF237" s="32">
        <v>334</v>
      </c>
      <c r="AG237" s="32">
        <v>5634</v>
      </c>
      <c r="AH237" s="32">
        <v>2455</v>
      </c>
      <c r="AI237" s="32">
        <v>935</v>
      </c>
      <c r="AJ237" s="32">
        <v>5634</v>
      </c>
      <c r="AK237" s="32">
        <v>14248</v>
      </c>
      <c r="AL237" s="32">
        <v>39.5</v>
      </c>
    </row>
    <row r="238" spans="1:38" ht="13.5" hidden="1" customHeight="1">
      <c r="A238" s="30" t="s">
        <v>2272</v>
      </c>
      <c r="B238" s="30" t="s">
        <v>2273</v>
      </c>
      <c r="C238" s="30" t="s">
        <v>235</v>
      </c>
      <c r="D238" s="30" t="s">
        <v>2012</v>
      </c>
      <c r="E238" s="30" t="s">
        <v>2022</v>
      </c>
      <c r="F238" s="30" t="s">
        <v>2023</v>
      </c>
      <c r="G238" s="30"/>
      <c r="H238" s="30" t="s">
        <v>2380</v>
      </c>
      <c r="I238" s="30" t="s">
        <v>2015</v>
      </c>
      <c r="J238" s="30" t="s">
        <v>2015</v>
      </c>
      <c r="K238" s="30" t="s">
        <v>2099</v>
      </c>
      <c r="L238" s="30" t="s">
        <v>2017</v>
      </c>
      <c r="M238" s="30" t="s">
        <v>2018</v>
      </c>
      <c r="N238" s="30" t="s">
        <v>2099</v>
      </c>
      <c r="O238" s="30" t="s">
        <v>2100</v>
      </c>
      <c r="P238" s="32">
        <v>8360</v>
      </c>
      <c r="Q238" s="32">
        <v>3704</v>
      </c>
      <c r="R238" s="32">
        <v>501</v>
      </c>
      <c r="S238" s="32">
        <v>275</v>
      </c>
      <c r="T238" s="32">
        <v>117</v>
      </c>
      <c r="U238" s="32">
        <v>566</v>
      </c>
      <c r="V238" s="32">
        <v>369</v>
      </c>
      <c r="W238" s="32">
        <v>184</v>
      </c>
      <c r="X238" s="32">
        <v>1067</v>
      </c>
      <c r="Y238" s="32">
        <v>644</v>
      </c>
      <c r="Z238" s="32">
        <v>301</v>
      </c>
      <c r="AA238" s="32">
        <v>1464</v>
      </c>
      <c r="AB238" s="32">
        <v>786</v>
      </c>
      <c r="AC238" s="32">
        <v>329</v>
      </c>
      <c r="AD238" s="32">
        <v>645</v>
      </c>
      <c r="AE238" s="32">
        <v>421</v>
      </c>
      <c r="AF238" s="32">
        <v>208</v>
      </c>
      <c r="AG238" s="32">
        <v>2109</v>
      </c>
      <c r="AH238" s="32">
        <v>1207</v>
      </c>
      <c r="AI238" s="32">
        <v>537</v>
      </c>
      <c r="AJ238" s="32">
        <v>2109</v>
      </c>
      <c r="AK238" s="32">
        <v>8256</v>
      </c>
      <c r="AL238" s="32">
        <v>25.5</v>
      </c>
    </row>
    <row r="239" spans="1:38" ht="13.5" hidden="1" customHeight="1">
      <c r="A239" s="30" t="s">
        <v>2272</v>
      </c>
      <c r="B239" s="30" t="s">
        <v>2273</v>
      </c>
      <c r="C239" s="30" t="s">
        <v>235</v>
      </c>
      <c r="D239" s="30" t="s">
        <v>2012</v>
      </c>
      <c r="E239" s="30" t="s">
        <v>2024</v>
      </c>
      <c r="F239" s="30" t="s">
        <v>2025</v>
      </c>
      <c r="G239" s="30"/>
      <c r="H239" s="30" t="s">
        <v>2381</v>
      </c>
      <c r="I239" s="30" t="s">
        <v>2015</v>
      </c>
      <c r="J239" s="30" t="s">
        <v>2015</v>
      </c>
      <c r="K239" s="30" t="s">
        <v>2018</v>
      </c>
      <c r="L239" s="30" t="s">
        <v>2017</v>
      </c>
      <c r="M239" s="30" t="s">
        <v>2018</v>
      </c>
      <c r="N239" s="30" t="s">
        <v>2018</v>
      </c>
      <c r="O239" s="30" t="s">
        <v>2015</v>
      </c>
      <c r="P239" s="32">
        <v>504</v>
      </c>
      <c r="Q239" s="32">
        <v>302</v>
      </c>
      <c r="R239" s="32">
        <v>69</v>
      </c>
      <c r="S239" s="32">
        <v>41</v>
      </c>
      <c r="T239" s="32">
        <v>20</v>
      </c>
      <c r="U239" s="32">
        <v>33</v>
      </c>
      <c r="V239" s="32">
        <v>21</v>
      </c>
      <c r="W239" s="32">
        <v>18</v>
      </c>
      <c r="X239" s="32">
        <v>102</v>
      </c>
      <c r="Y239" s="32">
        <v>62</v>
      </c>
      <c r="Z239" s="32">
        <v>38</v>
      </c>
      <c r="AA239" s="32">
        <v>193</v>
      </c>
      <c r="AB239" s="32">
        <v>115</v>
      </c>
      <c r="AC239" s="32">
        <v>56</v>
      </c>
      <c r="AD239" s="32">
        <v>46</v>
      </c>
      <c r="AE239" s="32">
        <v>29</v>
      </c>
      <c r="AF239" s="32">
        <v>25</v>
      </c>
      <c r="AG239" s="32">
        <v>239</v>
      </c>
      <c r="AH239" s="32">
        <v>144</v>
      </c>
      <c r="AI239" s="32">
        <v>81</v>
      </c>
      <c r="AJ239" s="32">
        <v>239</v>
      </c>
      <c r="AK239" s="32">
        <v>492</v>
      </c>
      <c r="AL239" s="32">
        <v>48.6</v>
      </c>
    </row>
    <row r="240" spans="1:38" ht="13.5" hidden="1" customHeight="1">
      <c r="A240" s="30" t="s">
        <v>2272</v>
      </c>
      <c r="B240" s="30" t="s">
        <v>2273</v>
      </c>
      <c r="C240" s="30" t="s">
        <v>235</v>
      </c>
      <c r="D240" s="30" t="s">
        <v>2012</v>
      </c>
      <c r="E240" s="30" t="s">
        <v>2024</v>
      </c>
      <c r="F240" s="30" t="s">
        <v>2025</v>
      </c>
      <c r="G240" s="30"/>
      <c r="H240" s="30" t="s">
        <v>2382</v>
      </c>
      <c r="I240" s="30" t="s">
        <v>2015</v>
      </c>
      <c r="J240" s="30" t="s">
        <v>2015</v>
      </c>
      <c r="K240" s="30" t="s">
        <v>2018</v>
      </c>
      <c r="L240" s="30" t="s">
        <v>2017</v>
      </c>
      <c r="M240" s="30" t="s">
        <v>2018</v>
      </c>
      <c r="N240" s="30" t="s">
        <v>2018</v>
      </c>
      <c r="O240" s="30" t="s">
        <v>2015</v>
      </c>
      <c r="P240" s="32">
        <v>399</v>
      </c>
      <c r="Q240" s="32">
        <v>1675</v>
      </c>
      <c r="R240" s="32">
        <v>15</v>
      </c>
      <c r="S240" s="32">
        <v>4</v>
      </c>
      <c r="T240" s="32">
        <v>2</v>
      </c>
      <c r="U240" s="32">
        <v>23</v>
      </c>
      <c r="V240" s="32">
        <v>14</v>
      </c>
      <c r="W240" s="32">
        <v>11</v>
      </c>
      <c r="X240" s="32">
        <v>38</v>
      </c>
      <c r="Y240" s="32">
        <v>18</v>
      </c>
      <c r="Z240" s="32">
        <v>13</v>
      </c>
      <c r="AA240" s="32">
        <v>42</v>
      </c>
      <c r="AB240" s="32">
        <v>11</v>
      </c>
      <c r="AC240" s="32">
        <v>6</v>
      </c>
      <c r="AD240" s="32">
        <v>32</v>
      </c>
      <c r="AE240" s="32">
        <v>20</v>
      </c>
      <c r="AF240" s="32">
        <v>15</v>
      </c>
      <c r="AG240" s="32">
        <v>74</v>
      </c>
      <c r="AH240" s="32">
        <v>31</v>
      </c>
      <c r="AI240" s="32">
        <v>21</v>
      </c>
      <c r="AJ240" s="32">
        <v>74</v>
      </c>
      <c r="AK240" s="32">
        <v>375</v>
      </c>
      <c r="AL240" s="32">
        <v>19.7</v>
      </c>
    </row>
    <row r="241" spans="1:38" ht="13.5" hidden="1" customHeight="1">
      <c r="A241" s="30" t="s">
        <v>2272</v>
      </c>
      <c r="B241" s="30" t="s">
        <v>2273</v>
      </c>
      <c r="C241" s="30" t="s">
        <v>235</v>
      </c>
      <c r="D241" s="30" t="s">
        <v>2012</v>
      </c>
      <c r="E241" s="30" t="s">
        <v>2024</v>
      </c>
      <c r="F241" s="30" t="s">
        <v>2025</v>
      </c>
      <c r="G241" s="30"/>
      <c r="H241" s="30" t="s">
        <v>2383</v>
      </c>
      <c r="I241" s="30" t="s">
        <v>2015</v>
      </c>
      <c r="J241" s="30" t="s">
        <v>2015</v>
      </c>
      <c r="K241" s="30" t="s">
        <v>2018</v>
      </c>
      <c r="L241" s="30" t="s">
        <v>2017</v>
      </c>
      <c r="M241" s="30" t="s">
        <v>2018</v>
      </c>
      <c r="N241" s="30" t="s">
        <v>2018</v>
      </c>
      <c r="O241" s="30" t="s">
        <v>2015</v>
      </c>
      <c r="P241" s="32">
        <v>520</v>
      </c>
      <c r="Q241" s="32">
        <v>291</v>
      </c>
      <c r="R241" s="32">
        <v>62</v>
      </c>
      <c r="S241" s="32">
        <v>33</v>
      </c>
      <c r="T241" s="32">
        <v>11</v>
      </c>
      <c r="U241" s="32">
        <v>38</v>
      </c>
      <c r="V241" s="32">
        <v>24</v>
      </c>
      <c r="W241" s="32">
        <v>14</v>
      </c>
      <c r="X241" s="32">
        <v>100</v>
      </c>
      <c r="Y241" s="32">
        <v>57</v>
      </c>
      <c r="Z241" s="32">
        <v>25</v>
      </c>
      <c r="AA241" s="32">
        <v>186</v>
      </c>
      <c r="AB241" s="32">
        <v>99</v>
      </c>
      <c r="AC241" s="32">
        <v>33</v>
      </c>
      <c r="AD241" s="32">
        <v>53</v>
      </c>
      <c r="AE241" s="32">
        <v>34</v>
      </c>
      <c r="AF241" s="32">
        <v>20</v>
      </c>
      <c r="AG241" s="32">
        <v>239</v>
      </c>
      <c r="AH241" s="32">
        <v>133</v>
      </c>
      <c r="AI241" s="32">
        <v>53</v>
      </c>
      <c r="AJ241" s="32">
        <v>239</v>
      </c>
      <c r="AK241" s="32">
        <v>505</v>
      </c>
      <c r="AL241" s="32">
        <v>47.3</v>
      </c>
    </row>
    <row r="242" spans="1:38" ht="13.5" hidden="1" customHeight="1">
      <c r="A242" s="30" t="s">
        <v>2272</v>
      </c>
      <c r="B242" s="30" t="s">
        <v>2273</v>
      </c>
      <c r="C242" s="30" t="s">
        <v>235</v>
      </c>
      <c r="D242" s="30" t="s">
        <v>2012</v>
      </c>
      <c r="E242" s="30" t="s">
        <v>2024</v>
      </c>
      <c r="F242" s="30" t="s">
        <v>2025</v>
      </c>
      <c r="G242" s="30"/>
      <c r="H242" s="30" t="s">
        <v>2384</v>
      </c>
      <c r="I242" s="30" t="s">
        <v>2015</v>
      </c>
      <c r="J242" s="30" t="s">
        <v>2015</v>
      </c>
      <c r="K242" s="30" t="s">
        <v>2018</v>
      </c>
      <c r="L242" s="30" t="s">
        <v>2017</v>
      </c>
      <c r="M242" s="30" t="s">
        <v>2018</v>
      </c>
      <c r="N242" s="30" t="s">
        <v>2018</v>
      </c>
      <c r="O242" s="30" t="s">
        <v>2015</v>
      </c>
      <c r="P242" s="32">
        <v>1170</v>
      </c>
      <c r="Q242" s="32">
        <v>684</v>
      </c>
      <c r="R242" s="32">
        <v>127</v>
      </c>
      <c r="S242" s="32">
        <v>61</v>
      </c>
      <c r="T242" s="32">
        <v>31</v>
      </c>
      <c r="U242" s="32">
        <v>95</v>
      </c>
      <c r="V242" s="32">
        <v>67</v>
      </c>
      <c r="W242" s="32">
        <v>36</v>
      </c>
      <c r="X242" s="32">
        <v>222</v>
      </c>
      <c r="Y242" s="32">
        <v>128</v>
      </c>
      <c r="Z242" s="32">
        <v>67</v>
      </c>
      <c r="AA242" s="32">
        <v>381</v>
      </c>
      <c r="AB242" s="32">
        <v>183</v>
      </c>
      <c r="AC242" s="32">
        <v>93</v>
      </c>
      <c r="AD242" s="32">
        <v>124</v>
      </c>
      <c r="AE242" s="32">
        <v>87</v>
      </c>
      <c r="AF242" s="32">
        <v>47</v>
      </c>
      <c r="AG242" s="32">
        <v>505</v>
      </c>
      <c r="AH242" s="32">
        <v>270</v>
      </c>
      <c r="AI242" s="32">
        <v>140</v>
      </c>
      <c r="AJ242" s="32">
        <v>505</v>
      </c>
      <c r="AK242" s="32">
        <v>1169</v>
      </c>
      <c r="AL242" s="32">
        <v>43.2</v>
      </c>
    </row>
    <row r="243" spans="1:38" ht="13.5" hidden="1" customHeight="1">
      <c r="A243" s="30" t="s">
        <v>2272</v>
      </c>
      <c r="B243" s="30" t="s">
        <v>2273</v>
      </c>
      <c r="C243" s="30" t="s">
        <v>235</v>
      </c>
      <c r="D243" s="30" t="s">
        <v>2012</v>
      </c>
      <c r="E243" s="30" t="s">
        <v>2024</v>
      </c>
      <c r="F243" s="30" t="s">
        <v>2025</v>
      </c>
      <c r="G243" s="30"/>
      <c r="H243" s="30" t="s">
        <v>2385</v>
      </c>
      <c r="I243" s="30" t="s">
        <v>2015</v>
      </c>
      <c r="J243" s="30" t="s">
        <v>2015</v>
      </c>
      <c r="K243" s="30" t="s">
        <v>2018</v>
      </c>
      <c r="L243" s="30" t="s">
        <v>2017</v>
      </c>
      <c r="M243" s="30" t="s">
        <v>2018</v>
      </c>
      <c r="N243" s="30" t="s">
        <v>2018</v>
      </c>
      <c r="O243" s="30" t="s">
        <v>2015</v>
      </c>
      <c r="P243" s="32">
        <v>135</v>
      </c>
      <c r="Q243" s="32">
        <v>160</v>
      </c>
      <c r="R243" s="32">
        <v>30</v>
      </c>
      <c r="S243" s="32">
        <v>18</v>
      </c>
      <c r="T243" s="32">
        <v>7</v>
      </c>
      <c r="U243" s="32">
        <v>10</v>
      </c>
      <c r="V243" s="32">
        <v>3</v>
      </c>
      <c r="W243" s="32">
        <v>0</v>
      </c>
      <c r="X243" s="32">
        <v>40</v>
      </c>
      <c r="Y243" s="32">
        <v>21</v>
      </c>
      <c r="Z243" s="32">
        <v>7</v>
      </c>
      <c r="AA243" s="32">
        <v>81</v>
      </c>
      <c r="AB243" s="32">
        <v>49</v>
      </c>
      <c r="AC243" s="32">
        <v>19</v>
      </c>
      <c r="AD243" s="32">
        <v>15</v>
      </c>
      <c r="AE243" s="32">
        <v>5</v>
      </c>
      <c r="AF243" s="32">
        <v>0</v>
      </c>
      <c r="AG243" s="32">
        <v>96</v>
      </c>
      <c r="AH243" s="32">
        <v>54</v>
      </c>
      <c r="AI243" s="32">
        <v>19</v>
      </c>
      <c r="AJ243" s="32">
        <v>96</v>
      </c>
      <c r="AK243" s="32">
        <v>177</v>
      </c>
      <c r="AL243" s="32">
        <v>54.2</v>
      </c>
    </row>
    <row r="244" spans="1:38" ht="13.5" hidden="1" customHeight="1">
      <c r="A244" s="30" t="s">
        <v>2272</v>
      </c>
      <c r="B244" s="30" t="s">
        <v>2273</v>
      </c>
      <c r="C244" s="30" t="s">
        <v>235</v>
      </c>
      <c r="D244" s="30" t="s">
        <v>2012</v>
      </c>
      <c r="E244" s="30" t="s">
        <v>2024</v>
      </c>
      <c r="F244" s="30" t="s">
        <v>2025</v>
      </c>
      <c r="G244" s="30"/>
      <c r="H244" s="30" t="s">
        <v>2386</v>
      </c>
      <c r="I244" s="30" t="s">
        <v>2015</v>
      </c>
      <c r="J244" s="30" t="s">
        <v>2015</v>
      </c>
      <c r="K244" s="30" t="s">
        <v>2018</v>
      </c>
      <c r="L244" s="30" t="s">
        <v>2017</v>
      </c>
      <c r="M244" s="30" t="s">
        <v>2018</v>
      </c>
      <c r="N244" s="30" t="s">
        <v>2018</v>
      </c>
      <c r="O244" s="30" t="s">
        <v>2015</v>
      </c>
      <c r="P244" s="32">
        <v>250</v>
      </c>
      <c r="Q244" s="32">
        <v>371</v>
      </c>
      <c r="R244" s="32">
        <v>22</v>
      </c>
      <c r="S244" s="32">
        <v>10</v>
      </c>
      <c r="T244" s="32">
        <v>4</v>
      </c>
      <c r="U244" s="32">
        <v>12</v>
      </c>
      <c r="V244" s="32">
        <v>6</v>
      </c>
      <c r="W244" s="32">
        <v>2</v>
      </c>
      <c r="X244" s="32">
        <v>34</v>
      </c>
      <c r="Y244" s="32">
        <v>16</v>
      </c>
      <c r="Z244" s="32">
        <v>6</v>
      </c>
      <c r="AA244" s="32">
        <v>57</v>
      </c>
      <c r="AB244" s="32">
        <v>26</v>
      </c>
      <c r="AC244" s="32">
        <v>10</v>
      </c>
      <c r="AD244" s="32">
        <v>20</v>
      </c>
      <c r="AE244" s="32">
        <v>10</v>
      </c>
      <c r="AF244" s="32">
        <v>3</v>
      </c>
      <c r="AG244" s="32">
        <v>77</v>
      </c>
      <c r="AH244" s="32">
        <v>36</v>
      </c>
      <c r="AI244" s="32">
        <v>13</v>
      </c>
      <c r="AJ244" s="32">
        <v>77</v>
      </c>
      <c r="AK244" s="32">
        <v>247</v>
      </c>
      <c r="AL244" s="32">
        <v>31.2</v>
      </c>
    </row>
    <row r="245" spans="1:38" ht="13.5" hidden="1" customHeight="1">
      <c r="A245" s="30" t="s">
        <v>2272</v>
      </c>
      <c r="B245" s="30" t="s">
        <v>2273</v>
      </c>
      <c r="C245" s="30" t="s">
        <v>235</v>
      </c>
      <c r="D245" s="30" t="s">
        <v>2012</v>
      </c>
      <c r="E245" s="30" t="s">
        <v>2024</v>
      </c>
      <c r="F245" s="30" t="s">
        <v>2025</v>
      </c>
      <c r="G245" s="30"/>
      <c r="H245" s="30" t="s">
        <v>2387</v>
      </c>
      <c r="I245" s="30" t="s">
        <v>2015</v>
      </c>
      <c r="J245" s="30" t="s">
        <v>2015</v>
      </c>
      <c r="K245" s="30" t="s">
        <v>2018</v>
      </c>
      <c r="L245" s="30" t="s">
        <v>2017</v>
      </c>
      <c r="M245" s="30" t="s">
        <v>2018</v>
      </c>
      <c r="N245" s="30" t="s">
        <v>2018</v>
      </c>
      <c r="O245" s="30" t="s">
        <v>2015</v>
      </c>
      <c r="P245" s="32">
        <v>526</v>
      </c>
      <c r="Q245" s="32">
        <v>350</v>
      </c>
      <c r="R245" s="32">
        <v>57</v>
      </c>
      <c r="S245" s="32">
        <v>26</v>
      </c>
      <c r="T245" s="32">
        <v>17</v>
      </c>
      <c r="U245" s="32">
        <v>38</v>
      </c>
      <c r="V245" s="32">
        <v>21</v>
      </c>
      <c r="W245" s="32">
        <v>12</v>
      </c>
      <c r="X245" s="32">
        <v>95</v>
      </c>
      <c r="Y245" s="32">
        <v>47</v>
      </c>
      <c r="Z245" s="32">
        <v>29</v>
      </c>
      <c r="AA245" s="32">
        <v>160</v>
      </c>
      <c r="AB245" s="32">
        <v>73</v>
      </c>
      <c r="AC245" s="32">
        <v>48</v>
      </c>
      <c r="AD245" s="32">
        <v>49</v>
      </c>
      <c r="AE245" s="32">
        <v>27</v>
      </c>
      <c r="AF245" s="32">
        <v>16</v>
      </c>
      <c r="AG245" s="32">
        <v>209</v>
      </c>
      <c r="AH245" s="32">
        <v>100</v>
      </c>
      <c r="AI245" s="32">
        <v>64</v>
      </c>
      <c r="AJ245" s="32">
        <v>209</v>
      </c>
      <c r="AK245" s="32">
        <v>515</v>
      </c>
      <c r="AL245" s="32">
        <v>40.6</v>
      </c>
    </row>
    <row r="246" spans="1:38" ht="13.5" hidden="1" customHeight="1">
      <c r="A246" s="30" t="s">
        <v>2272</v>
      </c>
      <c r="B246" s="30" t="s">
        <v>2273</v>
      </c>
      <c r="C246" s="30" t="s">
        <v>235</v>
      </c>
      <c r="D246" s="30" t="s">
        <v>2012</v>
      </c>
      <c r="E246" s="30" t="s">
        <v>2024</v>
      </c>
      <c r="F246" s="30" t="s">
        <v>2025</v>
      </c>
      <c r="G246" s="30"/>
      <c r="H246" s="30" t="s">
        <v>2388</v>
      </c>
      <c r="I246" s="30" t="s">
        <v>2015</v>
      </c>
      <c r="J246" s="30" t="s">
        <v>2015</v>
      </c>
      <c r="K246" s="30" t="s">
        <v>2018</v>
      </c>
      <c r="L246" s="30" t="s">
        <v>2017</v>
      </c>
      <c r="M246" s="30" t="s">
        <v>2018</v>
      </c>
      <c r="N246" s="30" t="s">
        <v>2018</v>
      </c>
      <c r="O246" s="30" t="s">
        <v>2015</v>
      </c>
      <c r="P246" s="32">
        <v>685</v>
      </c>
      <c r="Q246" s="32">
        <v>747</v>
      </c>
      <c r="R246" s="32">
        <v>75</v>
      </c>
      <c r="S246" s="32">
        <v>34</v>
      </c>
      <c r="T246" s="32">
        <v>13</v>
      </c>
      <c r="U246" s="32">
        <v>82</v>
      </c>
      <c r="V246" s="32">
        <v>57</v>
      </c>
      <c r="W246" s="32">
        <v>36</v>
      </c>
      <c r="X246" s="32">
        <v>157</v>
      </c>
      <c r="Y246" s="32">
        <v>91</v>
      </c>
      <c r="Z246" s="32">
        <v>49</v>
      </c>
      <c r="AA246" s="32">
        <v>248</v>
      </c>
      <c r="AB246" s="32">
        <v>112</v>
      </c>
      <c r="AC246" s="32">
        <v>43</v>
      </c>
      <c r="AD246" s="32">
        <v>115</v>
      </c>
      <c r="AE246" s="32">
        <v>80</v>
      </c>
      <c r="AF246" s="32">
        <v>50</v>
      </c>
      <c r="AG246" s="32">
        <v>363</v>
      </c>
      <c r="AH246" s="32">
        <v>192</v>
      </c>
      <c r="AI246" s="32">
        <v>93</v>
      </c>
      <c r="AJ246" s="32">
        <v>363</v>
      </c>
      <c r="AK246" s="32">
        <v>673</v>
      </c>
      <c r="AL246" s="32">
        <v>53.9</v>
      </c>
    </row>
    <row r="247" spans="1:38" ht="13.5" hidden="1" customHeight="1">
      <c r="A247" s="30" t="s">
        <v>2272</v>
      </c>
      <c r="B247" s="30" t="s">
        <v>2273</v>
      </c>
      <c r="C247" s="30" t="s">
        <v>235</v>
      </c>
      <c r="D247" s="30" t="s">
        <v>2012</v>
      </c>
      <c r="E247" s="30" t="s">
        <v>2024</v>
      </c>
      <c r="F247" s="30" t="s">
        <v>2025</v>
      </c>
      <c r="G247" s="30"/>
      <c r="H247" s="30" t="s">
        <v>2389</v>
      </c>
      <c r="I247" s="30" t="s">
        <v>2015</v>
      </c>
      <c r="J247" s="30" t="s">
        <v>2015</v>
      </c>
      <c r="K247" s="30" t="s">
        <v>2018</v>
      </c>
      <c r="L247" s="30" t="s">
        <v>2017</v>
      </c>
      <c r="M247" s="30" t="s">
        <v>2018</v>
      </c>
      <c r="N247" s="30" t="s">
        <v>2018</v>
      </c>
      <c r="O247" s="30" t="s">
        <v>2015</v>
      </c>
      <c r="P247" s="32">
        <v>7410</v>
      </c>
      <c r="Q247" s="32">
        <v>3048</v>
      </c>
      <c r="R247" s="32">
        <v>740</v>
      </c>
      <c r="S247" s="32">
        <v>442</v>
      </c>
      <c r="T247" s="32">
        <v>248</v>
      </c>
      <c r="U247" s="32">
        <v>823</v>
      </c>
      <c r="V247" s="32">
        <v>581</v>
      </c>
      <c r="W247" s="32">
        <v>298</v>
      </c>
      <c r="X247" s="32">
        <v>1563</v>
      </c>
      <c r="Y247" s="32">
        <v>1023</v>
      </c>
      <c r="Z247" s="32">
        <v>546</v>
      </c>
      <c r="AA247" s="32">
        <v>2157</v>
      </c>
      <c r="AB247" s="32">
        <v>1261</v>
      </c>
      <c r="AC247" s="32">
        <v>681</v>
      </c>
      <c r="AD247" s="32">
        <v>1120</v>
      </c>
      <c r="AE247" s="32">
        <v>795</v>
      </c>
      <c r="AF247" s="32">
        <v>410</v>
      </c>
      <c r="AG247" s="32">
        <v>3277</v>
      </c>
      <c r="AH247" s="32">
        <v>2056</v>
      </c>
      <c r="AI247" s="32">
        <v>1091</v>
      </c>
      <c r="AJ247" s="32">
        <v>3277</v>
      </c>
      <c r="AK247" s="32">
        <v>6309</v>
      </c>
      <c r="AL247" s="32">
        <v>51.9</v>
      </c>
    </row>
    <row r="248" spans="1:38" ht="13.5" hidden="1" customHeight="1">
      <c r="A248" s="30" t="s">
        <v>2272</v>
      </c>
      <c r="B248" s="30" t="s">
        <v>2273</v>
      </c>
      <c r="C248" s="30" t="s">
        <v>235</v>
      </c>
      <c r="D248" s="30" t="s">
        <v>2012</v>
      </c>
      <c r="E248" s="30" t="s">
        <v>2024</v>
      </c>
      <c r="F248" s="30" t="s">
        <v>2025</v>
      </c>
      <c r="G248" s="30"/>
      <c r="H248" s="30" t="s">
        <v>2390</v>
      </c>
      <c r="I248" s="30" t="s">
        <v>2015</v>
      </c>
      <c r="J248" s="30" t="s">
        <v>2015</v>
      </c>
      <c r="K248" s="30" t="s">
        <v>2018</v>
      </c>
      <c r="L248" s="30" t="s">
        <v>2017</v>
      </c>
      <c r="M248" s="30" t="s">
        <v>2018</v>
      </c>
      <c r="N248" s="30" t="s">
        <v>2018</v>
      </c>
      <c r="O248" s="30" t="s">
        <v>2015</v>
      </c>
      <c r="P248" s="32">
        <v>790</v>
      </c>
      <c r="Q248" s="32">
        <v>487</v>
      </c>
      <c r="R248" s="32">
        <v>93</v>
      </c>
      <c r="S248" s="32">
        <v>46</v>
      </c>
      <c r="T248" s="32">
        <v>23</v>
      </c>
      <c r="U248" s="32">
        <v>62</v>
      </c>
      <c r="V248" s="32">
        <v>45</v>
      </c>
      <c r="W248" s="32">
        <v>28</v>
      </c>
      <c r="X248" s="32">
        <v>155</v>
      </c>
      <c r="Y248" s="32">
        <v>91</v>
      </c>
      <c r="Z248" s="32">
        <v>51</v>
      </c>
      <c r="AA248" s="32">
        <v>288</v>
      </c>
      <c r="AB248" s="32">
        <v>143</v>
      </c>
      <c r="AC248" s="32">
        <v>71</v>
      </c>
      <c r="AD248" s="32">
        <v>93</v>
      </c>
      <c r="AE248" s="32">
        <v>68</v>
      </c>
      <c r="AF248" s="32">
        <v>42</v>
      </c>
      <c r="AG248" s="32">
        <v>381</v>
      </c>
      <c r="AH248" s="32">
        <v>211</v>
      </c>
      <c r="AI248" s="32">
        <v>113</v>
      </c>
      <c r="AJ248" s="32">
        <v>381</v>
      </c>
      <c r="AK248" s="32">
        <v>790</v>
      </c>
      <c r="AL248" s="32">
        <v>48.2</v>
      </c>
    </row>
    <row r="249" spans="1:38" ht="13.5" hidden="1" customHeight="1">
      <c r="A249" s="30" t="s">
        <v>2272</v>
      </c>
      <c r="B249" s="30" t="s">
        <v>2273</v>
      </c>
      <c r="C249" s="30" t="s">
        <v>235</v>
      </c>
      <c r="D249" s="30" t="s">
        <v>2012</v>
      </c>
      <c r="E249" s="30" t="s">
        <v>2024</v>
      </c>
      <c r="F249" s="30" t="s">
        <v>2025</v>
      </c>
      <c r="G249" s="30"/>
      <c r="H249" s="30" t="s">
        <v>2391</v>
      </c>
      <c r="I249" s="30" t="s">
        <v>2015</v>
      </c>
      <c r="J249" s="30" t="s">
        <v>2015</v>
      </c>
      <c r="K249" s="30" t="s">
        <v>2018</v>
      </c>
      <c r="L249" s="30" t="s">
        <v>2017</v>
      </c>
      <c r="M249" s="30" t="s">
        <v>2018</v>
      </c>
      <c r="N249" s="30" t="s">
        <v>2018</v>
      </c>
      <c r="O249" s="30" t="s">
        <v>2015</v>
      </c>
      <c r="P249" s="32">
        <v>4985</v>
      </c>
      <c r="Q249" s="32">
        <v>2155</v>
      </c>
      <c r="R249" s="32">
        <v>483</v>
      </c>
      <c r="S249" s="32">
        <v>235</v>
      </c>
      <c r="T249" s="32">
        <v>118</v>
      </c>
      <c r="U249" s="32">
        <v>381</v>
      </c>
      <c r="V249" s="32">
        <v>268</v>
      </c>
      <c r="W249" s="32">
        <v>129</v>
      </c>
      <c r="X249" s="32">
        <v>864</v>
      </c>
      <c r="Y249" s="32">
        <v>503</v>
      </c>
      <c r="Z249" s="32">
        <v>247</v>
      </c>
      <c r="AA249" s="32">
        <v>1469</v>
      </c>
      <c r="AB249" s="32">
        <v>709</v>
      </c>
      <c r="AC249" s="32">
        <v>358</v>
      </c>
      <c r="AD249" s="32">
        <v>432</v>
      </c>
      <c r="AE249" s="32">
        <v>301</v>
      </c>
      <c r="AF249" s="32">
        <v>145</v>
      </c>
      <c r="AG249" s="32">
        <v>1901</v>
      </c>
      <c r="AH249" s="32">
        <v>1010</v>
      </c>
      <c r="AI249" s="32">
        <v>503</v>
      </c>
      <c r="AJ249" s="32">
        <v>1901</v>
      </c>
      <c r="AK249" s="32">
        <v>4979</v>
      </c>
      <c r="AL249" s="32">
        <v>38.200000000000003</v>
      </c>
    </row>
    <row r="250" spans="1:38" ht="13.5" hidden="1" customHeight="1">
      <c r="A250" s="30" t="s">
        <v>2272</v>
      </c>
      <c r="B250" s="30" t="s">
        <v>2273</v>
      </c>
      <c r="C250" s="30" t="s">
        <v>235</v>
      </c>
      <c r="D250" s="30" t="s">
        <v>2012</v>
      </c>
      <c r="E250" s="30" t="s">
        <v>2024</v>
      </c>
      <c r="F250" s="30" t="s">
        <v>2025</v>
      </c>
      <c r="G250" s="30"/>
      <c r="H250" s="30" t="s">
        <v>2392</v>
      </c>
      <c r="I250" s="30" t="s">
        <v>2015</v>
      </c>
      <c r="J250" s="30" t="s">
        <v>2015</v>
      </c>
      <c r="K250" s="30" t="s">
        <v>2018</v>
      </c>
      <c r="L250" s="30" t="s">
        <v>2017</v>
      </c>
      <c r="M250" s="30" t="s">
        <v>2018</v>
      </c>
      <c r="N250" s="30" t="s">
        <v>2018</v>
      </c>
      <c r="O250" s="30" t="s">
        <v>2015</v>
      </c>
      <c r="P250" s="32">
        <v>1103</v>
      </c>
      <c r="Q250" s="32">
        <v>659</v>
      </c>
      <c r="R250" s="32">
        <v>123</v>
      </c>
      <c r="S250" s="32">
        <v>58</v>
      </c>
      <c r="T250" s="32">
        <v>20</v>
      </c>
      <c r="U250" s="32">
        <v>111</v>
      </c>
      <c r="V250" s="32">
        <v>65</v>
      </c>
      <c r="W250" s="32">
        <v>27</v>
      </c>
      <c r="X250" s="32">
        <v>234</v>
      </c>
      <c r="Y250" s="32">
        <v>123</v>
      </c>
      <c r="Z250" s="32">
        <v>47</v>
      </c>
      <c r="AA250" s="32">
        <v>381</v>
      </c>
      <c r="AB250" s="32">
        <v>180</v>
      </c>
      <c r="AC250" s="32">
        <v>62</v>
      </c>
      <c r="AD250" s="32">
        <v>133</v>
      </c>
      <c r="AE250" s="32">
        <v>78</v>
      </c>
      <c r="AF250" s="32">
        <v>32</v>
      </c>
      <c r="AG250" s="32">
        <v>514</v>
      </c>
      <c r="AH250" s="32">
        <v>258</v>
      </c>
      <c r="AI250" s="32">
        <v>94</v>
      </c>
      <c r="AJ250" s="32">
        <v>514</v>
      </c>
      <c r="AK250" s="32">
        <v>1116</v>
      </c>
      <c r="AL250" s="32">
        <v>46.1</v>
      </c>
    </row>
    <row r="251" spans="1:38" ht="13.5" hidden="1" customHeight="1">
      <c r="A251" s="30" t="s">
        <v>2272</v>
      </c>
      <c r="B251" s="30" t="s">
        <v>2273</v>
      </c>
      <c r="C251" s="30" t="s">
        <v>235</v>
      </c>
      <c r="D251" s="30" t="s">
        <v>2012</v>
      </c>
      <c r="E251" s="30" t="s">
        <v>2024</v>
      </c>
      <c r="F251" s="30" t="s">
        <v>2025</v>
      </c>
      <c r="G251" s="30"/>
      <c r="H251" s="30" t="s">
        <v>2393</v>
      </c>
      <c r="I251" s="30" t="s">
        <v>2015</v>
      </c>
      <c r="J251" s="30" t="s">
        <v>2015</v>
      </c>
      <c r="K251" s="30" t="s">
        <v>2018</v>
      </c>
      <c r="L251" s="30" t="s">
        <v>2017</v>
      </c>
      <c r="M251" s="30" t="s">
        <v>2018</v>
      </c>
      <c r="N251" s="30" t="s">
        <v>2018</v>
      </c>
      <c r="O251" s="30" t="s">
        <v>2015</v>
      </c>
      <c r="P251" s="32">
        <v>173</v>
      </c>
      <c r="Q251" s="32">
        <v>208</v>
      </c>
      <c r="R251" s="32">
        <v>28</v>
      </c>
      <c r="S251" s="32">
        <v>10</v>
      </c>
      <c r="T251" s="32">
        <v>2</v>
      </c>
      <c r="U251" s="32">
        <v>16</v>
      </c>
      <c r="V251" s="32">
        <v>10</v>
      </c>
      <c r="W251" s="32">
        <v>9</v>
      </c>
      <c r="X251" s="32">
        <v>44</v>
      </c>
      <c r="Y251" s="32">
        <v>20</v>
      </c>
      <c r="Z251" s="32">
        <v>11</v>
      </c>
      <c r="AA251" s="32">
        <v>76</v>
      </c>
      <c r="AB251" s="32">
        <v>27</v>
      </c>
      <c r="AC251" s="32">
        <v>5</v>
      </c>
      <c r="AD251" s="32">
        <v>16</v>
      </c>
      <c r="AE251" s="32">
        <v>10</v>
      </c>
      <c r="AF251" s="32">
        <v>9</v>
      </c>
      <c r="AG251" s="32">
        <v>92</v>
      </c>
      <c r="AH251" s="32">
        <v>37</v>
      </c>
      <c r="AI251" s="32">
        <v>14</v>
      </c>
      <c r="AJ251" s="32">
        <v>92</v>
      </c>
      <c r="AK251" s="32">
        <v>145</v>
      </c>
      <c r="AL251" s="32">
        <v>63.4</v>
      </c>
    </row>
    <row r="252" spans="1:38" ht="13.5" hidden="1" customHeight="1">
      <c r="A252" s="30" t="s">
        <v>2272</v>
      </c>
      <c r="B252" s="30" t="s">
        <v>2273</v>
      </c>
      <c r="C252" s="30" t="s">
        <v>235</v>
      </c>
      <c r="D252" s="30" t="s">
        <v>2012</v>
      </c>
      <c r="E252" s="30" t="s">
        <v>2024</v>
      </c>
      <c r="F252" s="30" t="s">
        <v>2025</v>
      </c>
      <c r="G252" s="30"/>
      <c r="H252" s="30" t="s">
        <v>2394</v>
      </c>
      <c r="I252" s="30" t="s">
        <v>2015</v>
      </c>
      <c r="J252" s="30" t="s">
        <v>2015</v>
      </c>
      <c r="K252" s="30" t="s">
        <v>2018</v>
      </c>
      <c r="L252" s="30" t="s">
        <v>2017</v>
      </c>
      <c r="M252" s="30" t="s">
        <v>2018</v>
      </c>
      <c r="N252" s="30" t="s">
        <v>2018</v>
      </c>
      <c r="O252" s="30" t="s">
        <v>2015</v>
      </c>
      <c r="P252" s="32">
        <v>1297</v>
      </c>
      <c r="Q252" s="32">
        <v>598</v>
      </c>
      <c r="R252" s="32">
        <v>142</v>
      </c>
      <c r="S252" s="32">
        <v>76</v>
      </c>
      <c r="T252" s="32">
        <v>34</v>
      </c>
      <c r="U252" s="32">
        <v>92</v>
      </c>
      <c r="V252" s="32">
        <v>63</v>
      </c>
      <c r="W252" s="32">
        <v>22</v>
      </c>
      <c r="X252" s="32">
        <v>234</v>
      </c>
      <c r="Y252" s="32">
        <v>139</v>
      </c>
      <c r="Z252" s="32">
        <v>56</v>
      </c>
      <c r="AA252" s="32">
        <v>426</v>
      </c>
      <c r="AB252" s="32">
        <v>228</v>
      </c>
      <c r="AC252" s="32">
        <v>102</v>
      </c>
      <c r="AD252" s="32">
        <v>120</v>
      </c>
      <c r="AE252" s="32">
        <v>82</v>
      </c>
      <c r="AF252" s="32">
        <v>29</v>
      </c>
      <c r="AG252" s="32">
        <v>546</v>
      </c>
      <c r="AH252" s="32">
        <v>310</v>
      </c>
      <c r="AI252" s="32">
        <v>131</v>
      </c>
      <c r="AJ252" s="32">
        <v>546</v>
      </c>
      <c r="AK252" s="32">
        <v>1297</v>
      </c>
      <c r="AL252" s="32">
        <v>42.1</v>
      </c>
    </row>
    <row r="253" spans="1:38" ht="13.5" hidden="1" customHeight="1">
      <c r="A253" s="30" t="s">
        <v>2272</v>
      </c>
      <c r="B253" s="30" t="s">
        <v>2273</v>
      </c>
      <c r="C253" s="30" t="s">
        <v>235</v>
      </c>
      <c r="D253" s="30" t="s">
        <v>2012</v>
      </c>
      <c r="E253" s="30" t="s">
        <v>2024</v>
      </c>
      <c r="F253" s="30" t="s">
        <v>2025</v>
      </c>
      <c r="G253" s="30"/>
      <c r="H253" s="30" t="s">
        <v>2395</v>
      </c>
      <c r="I253" s="30" t="s">
        <v>2015</v>
      </c>
      <c r="J253" s="30" t="s">
        <v>2015</v>
      </c>
      <c r="K253" s="30" t="s">
        <v>2018</v>
      </c>
      <c r="L253" s="30" t="s">
        <v>2017</v>
      </c>
      <c r="M253" s="30" t="s">
        <v>2018</v>
      </c>
      <c r="N253" s="30" t="s">
        <v>2018</v>
      </c>
      <c r="O253" s="30" t="s">
        <v>2015</v>
      </c>
      <c r="P253" s="32">
        <v>725</v>
      </c>
      <c r="Q253" s="32">
        <v>432</v>
      </c>
      <c r="R253" s="32">
        <v>101</v>
      </c>
      <c r="S253" s="32">
        <v>50</v>
      </c>
      <c r="T253" s="32">
        <v>26</v>
      </c>
      <c r="U253" s="32">
        <v>54</v>
      </c>
      <c r="V253" s="32">
        <v>27</v>
      </c>
      <c r="W253" s="32">
        <v>19</v>
      </c>
      <c r="X253" s="32">
        <v>155</v>
      </c>
      <c r="Y253" s="32">
        <v>77</v>
      </c>
      <c r="Z253" s="32">
        <v>45</v>
      </c>
      <c r="AA253" s="32">
        <v>313</v>
      </c>
      <c r="AB253" s="32">
        <v>155</v>
      </c>
      <c r="AC253" s="32">
        <v>81</v>
      </c>
      <c r="AD253" s="32">
        <v>70</v>
      </c>
      <c r="AE253" s="32">
        <v>35</v>
      </c>
      <c r="AF253" s="32">
        <v>25</v>
      </c>
      <c r="AG253" s="32">
        <v>383</v>
      </c>
      <c r="AH253" s="32">
        <v>190</v>
      </c>
      <c r="AI253" s="32">
        <v>106</v>
      </c>
      <c r="AJ253" s="32">
        <v>383</v>
      </c>
      <c r="AK253" s="32">
        <v>725</v>
      </c>
      <c r="AL253" s="32">
        <v>52.8</v>
      </c>
    </row>
    <row r="254" spans="1:38" ht="13.5" hidden="1" customHeight="1">
      <c r="A254" s="30" t="s">
        <v>2272</v>
      </c>
      <c r="B254" s="30" t="s">
        <v>2273</v>
      </c>
      <c r="C254" s="30" t="s">
        <v>235</v>
      </c>
      <c r="D254" s="30" t="s">
        <v>2012</v>
      </c>
      <c r="E254" s="30" t="s">
        <v>2024</v>
      </c>
      <c r="F254" s="30" t="s">
        <v>2025</v>
      </c>
      <c r="G254" s="30"/>
      <c r="H254" s="30" t="s">
        <v>2396</v>
      </c>
      <c r="I254" s="30" t="s">
        <v>2015</v>
      </c>
      <c r="J254" s="30" t="s">
        <v>2015</v>
      </c>
      <c r="K254" s="30" t="s">
        <v>2018</v>
      </c>
      <c r="L254" s="30" t="s">
        <v>2017</v>
      </c>
      <c r="M254" s="30" t="s">
        <v>2018</v>
      </c>
      <c r="N254" s="30" t="s">
        <v>2018</v>
      </c>
      <c r="O254" s="30" t="s">
        <v>2015</v>
      </c>
      <c r="P254" s="32">
        <v>41</v>
      </c>
      <c r="Q254" s="32">
        <v>281</v>
      </c>
      <c r="R254" s="32">
        <v>6</v>
      </c>
      <c r="S254" s="32">
        <v>2</v>
      </c>
      <c r="T254" s="32">
        <v>2</v>
      </c>
      <c r="U254" s="32">
        <v>6</v>
      </c>
      <c r="V254" s="32">
        <v>6</v>
      </c>
      <c r="W254" s="32">
        <v>2</v>
      </c>
      <c r="X254" s="32">
        <v>12</v>
      </c>
      <c r="Y254" s="32">
        <v>8</v>
      </c>
      <c r="Z254" s="32">
        <v>4</v>
      </c>
      <c r="AA254" s="32">
        <v>18</v>
      </c>
      <c r="AB254" s="32">
        <v>6</v>
      </c>
      <c r="AC254" s="32">
        <v>6</v>
      </c>
      <c r="AD254" s="32">
        <v>6</v>
      </c>
      <c r="AE254" s="32">
        <v>6</v>
      </c>
      <c r="AF254" s="32">
        <v>2</v>
      </c>
      <c r="AG254" s="32">
        <v>24</v>
      </c>
      <c r="AH254" s="32">
        <v>12</v>
      </c>
      <c r="AI254" s="32">
        <v>8</v>
      </c>
      <c r="AJ254" s="32">
        <v>24</v>
      </c>
      <c r="AK254" s="32">
        <v>40</v>
      </c>
      <c r="AL254" s="32">
        <v>60</v>
      </c>
    </row>
    <row r="255" spans="1:38" ht="13.5" hidden="1" customHeight="1">
      <c r="A255" s="30" t="s">
        <v>2272</v>
      </c>
      <c r="B255" s="30" t="s">
        <v>2273</v>
      </c>
      <c r="C255" s="30" t="s">
        <v>235</v>
      </c>
      <c r="D255" s="30" t="s">
        <v>2012</v>
      </c>
      <c r="E255" s="30" t="s">
        <v>2024</v>
      </c>
      <c r="F255" s="30" t="s">
        <v>2025</v>
      </c>
      <c r="G255" s="30"/>
      <c r="H255" s="30" t="s">
        <v>2397</v>
      </c>
      <c r="I255" s="30" t="s">
        <v>2015</v>
      </c>
      <c r="J255" s="30" t="s">
        <v>2015</v>
      </c>
      <c r="K255" s="30" t="s">
        <v>2018</v>
      </c>
      <c r="L255" s="30" t="s">
        <v>2017</v>
      </c>
      <c r="M255" s="30" t="s">
        <v>2018</v>
      </c>
      <c r="N255" s="30" t="s">
        <v>2018</v>
      </c>
      <c r="O255" s="30" t="s">
        <v>2015</v>
      </c>
      <c r="P255" s="32">
        <v>990</v>
      </c>
      <c r="Q255" s="32">
        <v>626</v>
      </c>
      <c r="R255" s="32">
        <v>121</v>
      </c>
      <c r="S255" s="32">
        <v>61</v>
      </c>
      <c r="T255" s="32">
        <v>24</v>
      </c>
      <c r="U255" s="32">
        <v>104</v>
      </c>
      <c r="V255" s="32">
        <v>84</v>
      </c>
      <c r="W255" s="32">
        <v>59</v>
      </c>
      <c r="X255" s="32">
        <v>225</v>
      </c>
      <c r="Y255" s="32">
        <v>145</v>
      </c>
      <c r="Z255" s="32">
        <v>83</v>
      </c>
      <c r="AA255" s="32">
        <v>363</v>
      </c>
      <c r="AB255" s="32">
        <v>183</v>
      </c>
      <c r="AC255" s="32">
        <v>72</v>
      </c>
      <c r="AD255" s="32">
        <v>125</v>
      </c>
      <c r="AE255" s="32">
        <v>101</v>
      </c>
      <c r="AF255" s="32">
        <v>71</v>
      </c>
      <c r="AG255" s="32">
        <v>488</v>
      </c>
      <c r="AH255" s="32">
        <v>284</v>
      </c>
      <c r="AI255" s="32">
        <v>143</v>
      </c>
      <c r="AJ255" s="32">
        <v>488</v>
      </c>
      <c r="AK255" s="32">
        <v>1043</v>
      </c>
      <c r="AL255" s="32">
        <v>46.8</v>
      </c>
    </row>
    <row r="256" spans="1:38" ht="13.5" hidden="1" customHeight="1">
      <c r="A256" s="30" t="s">
        <v>2272</v>
      </c>
      <c r="B256" s="30" t="s">
        <v>2273</v>
      </c>
      <c r="C256" s="30" t="s">
        <v>235</v>
      </c>
      <c r="D256" s="30" t="s">
        <v>2012</v>
      </c>
      <c r="E256" s="30" t="s">
        <v>2024</v>
      </c>
      <c r="F256" s="30" t="s">
        <v>2025</v>
      </c>
      <c r="G256" s="30"/>
      <c r="H256" s="30" t="s">
        <v>2398</v>
      </c>
      <c r="I256" s="30" t="s">
        <v>2015</v>
      </c>
      <c r="J256" s="30" t="s">
        <v>2015</v>
      </c>
      <c r="K256" s="30" t="s">
        <v>2018</v>
      </c>
      <c r="L256" s="30" t="s">
        <v>2017</v>
      </c>
      <c r="M256" s="30" t="s">
        <v>2018</v>
      </c>
      <c r="N256" s="30" t="s">
        <v>2018</v>
      </c>
      <c r="O256" s="30" t="s">
        <v>2015</v>
      </c>
      <c r="P256" s="32">
        <v>1052</v>
      </c>
      <c r="Q256" s="32">
        <v>1561</v>
      </c>
      <c r="R256" s="32">
        <v>84</v>
      </c>
      <c r="S256" s="32">
        <v>43</v>
      </c>
      <c r="T256" s="32">
        <v>16</v>
      </c>
      <c r="U256" s="32">
        <v>113</v>
      </c>
      <c r="V256" s="32">
        <v>71</v>
      </c>
      <c r="W256" s="32">
        <v>43</v>
      </c>
      <c r="X256" s="32">
        <v>197</v>
      </c>
      <c r="Y256" s="32">
        <v>114</v>
      </c>
      <c r="Z256" s="32">
        <v>59</v>
      </c>
      <c r="AA256" s="32">
        <v>252</v>
      </c>
      <c r="AB256" s="32">
        <v>129</v>
      </c>
      <c r="AC256" s="32">
        <v>48</v>
      </c>
      <c r="AD256" s="32">
        <v>136</v>
      </c>
      <c r="AE256" s="32">
        <v>85</v>
      </c>
      <c r="AF256" s="32">
        <v>52</v>
      </c>
      <c r="AG256" s="32">
        <v>388</v>
      </c>
      <c r="AH256" s="32">
        <v>214</v>
      </c>
      <c r="AI256" s="32">
        <v>100</v>
      </c>
      <c r="AJ256" s="32">
        <v>388</v>
      </c>
      <c r="AK256" s="32">
        <v>1045</v>
      </c>
      <c r="AL256" s="32">
        <v>37.1</v>
      </c>
    </row>
    <row r="257" spans="1:38" ht="13.5" hidden="1" customHeight="1">
      <c r="A257" s="30" t="s">
        <v>2272</v>
      </c>
      <c r="B257" s="30" t="s">
        <v>2273</v>
      </c>
      <c r="C257" s="30" t="s">
        <v>235</v>
      </c>
      <c r="D257" s="30" t="s">
        <v>2012</v>
      </c>
      <c r="E257" s="30" t="s">
        <v>2024</v>
      </c>
      <c r="F257" s="30" t="s">
        <v>2025</v>
      </c>
      <c r="G257" s="30"/>
      <c r="H257" s="30" t="s">
        <v>2399</v>
      </c>
      <c r="I257" s="30" t="s">
        <v>2015</v>
      </c>
      <c r="J257" s="30" t="s">
        <v>2015</v>
      </c>
      <c r="K257" s="30" t="s">
        <v>2018</v>
      </c>
      <c r="L257" s="30" t="s">
        <v>2017</v>
      </c>
      <c r="M257" s="30" t="s">
        <v>2018</v>
      </c>
      <c r="N257" s="30" t="s">
        <v>2018</v>
      </c>
      <c r="O257" s="30" t="s">
        <v>2015</v>
      </c>
      <c r="P257" s="32">
        <v>123</v>
      </c>
      <c r="Q257" s="32">
        <v>516</v>
      </c>
      <c r="R257" s="32">
        <v>12</v>
      </c>
      <c r="S257" s="32">
        <v>4</v>
      </c>
      <c r="T257" s="32">
        <v>2</v>
      </c>
      <c r="U257" s="32">
        <v>8</v>
      </c>
      <c r="V257" s="32">
        <v>7</v>
      </c>
      <c r="W257" s="32">
        <v>2</v>
      </c>
      <c r="X257" s="32">
        <v>20</v>
      </c>
      <c r="Y257" s="32">
        <v>11</v>
      </c>
      <c r="Z257" s="32">
        <v>4</v>
      </c>
      <c r="AA257" s="32">
        <v>30</v>
      </c>
      <c r="AB257" s="32">
        <v>10</v>
      </c>
      <c r="AC257" s="32">
        <v>5</v>
      </c>
      <c r="AD257" s="32">
        <v>10</v>
      </c>
      <c r="AE257" s="32">
        <v>9</v>
      </c>
      <c r="AF257" s="32">
        <v>3</v>
      </c>
      <c r="AG257" s="32">
        <v>40</v>
      </c>
      <c r="AH257" s="32">
        <v>19</v>
      </c>
      <c r="AI257" s="32">
        <v>8</v>
      </c>
      <c r="AJ257" s="32">
        <v>40</v>
      </c>
      <c r="AK257" s="32">
        <v>120</v>
      </c>
      <c r="AL257" s="32">
        <v>33.299999999999997</v>
      </c>
    </row>
    <row r="258" spans="1:38" ht="13.5" hidden="1" customHeight="1">
      <c r="A258" s="30" t="s">
        <v>2272</v>
      </c>
      <c r="B258" s="30" t="s">
        <v>2273</v>
      </c>
      <c r="C258" s="30" t="s">
        <v>235</v>
      </c>
      <c r="D258" s="30" t="s">
        <v>2012</v>
      </c>
      <c r="E258" s="30" t="s">
        <v>2024</v>
      </c>
      <c r="F258" s="30" t="s">
        <v>2025</v>
      </c>
      <c r="G258" s="30"/>
      <c r="H258" s="30" t="s">
        <v>2400</v>
      </c>
      <c r="I258" s="30" t="s">
        <v>2015</v>
      </c>
      <c r="J258" s="30" t="s">
        <v>2015</v>
      </c>
      <c r="K258" s="30" t="s">
        <v>2018</v>
      </c>
      <c r="L258" s="30" t="s">
        <v>2017</v>
      </c>
      <c r="M258" s="30" t="s">
        <v>2018</v>
      </c>
      <c r="N258" s="30" t="s">
        <v>2018</v>
      </c>
      <c r="O258" s="30" t="s">
        <v>2015</v>
      </c>
      <c r="P258" s="32">
        <v>93</v>
      </c>
      <c r="Q258" s="32">
        <v>275</v>
      </c>
      <c r="R258" s="32">
        <v>5</v>
      </c>
      <c r="S258" s="32">
        <v>0</v>
      </c>
      <c r="T258" s="32">
        <v>0</v>
      </c>
      <c r="U258" s="32">
        <v>7</v>
      </c>
      <c r="V258" s="32">
        <v>3</v>
      </c>
      <c r="W258" s="32">
        <v>0</v>
      </c>
      <c r="X258" s="32">
        <v>12</v>
      </c>
      <c r="Y258" s="32">
        <v>3</v>
      </c>
      <c r="Z258" s="32">
        <v>0</v>
      </c>
      <c r="AA258" s="32">
        <v>13</v>
      </c>
      <c r="AB258" s="32">
        <v>0</v>
      </c>
      <c r="AC258" s="32">
        <v>0</v>
      </c>
      <c r="AD258" s="32">
        <v>9</v>
      </c>
      <c r="AE258" s="32">
        <v>4</v>
      </c>
      <c r="AF258" s="32">
        <v>0</v>
      </c>
      <c r="AG258" s="32">
        <v>22</v>
      </c>
      <c r="AH258" s="32">
        <v>4</v>
      </c>
      <c r="AI258" s="32">
        <v>0</v>
      </c>
      <c r="AJ258" s="32">
        <v>22</v>
      </c>
      <c r="AK258" s="32">
        <v>78</v>
      </c>
      <c r="AL258" s="32">
        <v>28.2</v>
      </c>
    </row>
    <row r="259" spans="1:38" ht="13.5" hidden="1" customHeight="1">
      <c r="A259" s="30" t="s">
        <v>2272</v>
      </c>
      <c r="B259" s="30" t="s">
        <v>2273</v>
      </c>
      <c r="C259" s="30" t="s">
        <v>235</v>
      </c>
      <c r="D259" s="30" t="s">
        <v>2012</v>
      </c>
      <c r="E259" s="30" t="s">
        <v>2024</v>
      </c>
      <c r="F259" s="30" t="s">
        <v>2025</v>
      </c>
      <c r="G259" s="30"/>
      <c r="H259" s="30" t="s">
        <v>2401</v>
      </c>
      <c r="I259" s="30" t="s">
        <v>2015</v>
      </c>
      <c r="J259" s="30" t="s">
        <v>2015</v>
      </c>
      <c r="K259" s="30" t="s">
        <v>2018</v>
      </c>
      <c r="L259" s="30" t="s">
        <v>2017</v>
      </c>
      <c r="M259" s="30" t="s">
        <v>2018</v>
      </c>
      <c r="N259" s="30" t="s">
        <v>2018</v>
      </c>
      <c r="O259" s="30" t="s">
        <v>2015</v>
      </c>
      <c r="P259" s="32">
        <v>70</v>
      </c>
      <c r="Q259" s="32">
        <v>41</v>
      </c>
      <c r="R259" s="32">
        <v>10</v>
      </c>
      <c r="S259" s="32">
        <v>7</v>
      </c>
      <c r="T259" s="32">
        <v>4</v>
      </c>
      <c r="U259" s="32">
        <v>5</v>
      </c>
      <c r="V259" s="32">
        <v>0</v>
      </c>
      <c r="W259" s="32">
        <v>0</v>
      </c>
      <c r="X259" s="32">
        <v>15</v>
      </c>
      <c r="Y259" s="32">
        <v>7</v>
      </c>
      <c r="Z259" s="32">
        <v>4</v>
      </c>
      <c r="AA259" s="32">
        <v>33</v>
      </c>
      <c r="AB259" s="32">
        <v>23</v>
      </c>
      <c r="AC259" s="32">
        <v>13</v>
      </c>
      <c r="AD259" s="32">
        <v>8</v>
      </c>
      <c r="AE259" s="32">
        <v>0</v>
      </c>
      <c r="AF259" s="32">
        <v>0</v>
      </c>
      <c r="AG259" s="32">
        <v>41</v>
      </c>
      <c r="AH259" s="32">
        <v>23</v>
      </c>
      <c r="AI259" s="32">
        <v>13</v>
      </c>
      <c r="AJ259" s="32">
        <v>41</v>
      </c>
      <c r="AK259" s="32">
        <v>74</v>
      </c>
      <c r="AL259" s="32">
        <v>55.4</v>
      </c>
    </row>
    <row r="260" spans="1:38" ht="13.5" hidden="1" customHeight="1">
      <c r="A260" s="30" t="s">
        <v>2272</v>
      </c>
      <c r="B260" s="30" t="s">
        <v>2273</v>
      </c>
      <c r="C260" s="30" t="s">
        <v>235</v>
      </c>
      <c r="D260" s="30" t="s">
        <v>2012</v>
      </c>
      <c r="E260" s="30" t="s">
        <v>2024</v>
      </c>
      <c r="F260" s="30" t="s">
        <v>2025</v>
      </c>
      <c r="G260" s="30"/>
      <c r="H260" s="30" t="s">
        <v>2402</v>
      </c>
      <c r="I260" s="30" t="s">
        <v>2015</v>
      </c>
      <c r="J260" s="30" t="s">
        <v>2015</v>
      </c>
      <c r="K260" s="30" t="s">
        <v>2018</v>
      </c>
      <c r="L260" s="30" t="s">
        <v>2017</v>
      </c>
      <c r="M260" s="30" t="s">
        <v>2018</v>
      </c>
      <c r="N260" s="30" t="s">
        <v>2018</v>
      </c>
      <c r="O260" s="30" t="s">
        <v>2015</v>
      </c>
      <c r="P260" s="32">
        <v>1259</v>
      </c>
      <c r="Q260" s="32">
        <v>614</v>
      </c>
      <c r="R260" s="32">
        <v>151</v>
      </c>
      <c r="S260" s="32">
        <v>71</v>
      </c>
      <c r="T260" s="32">
        <v>27</v>
      </c>
      <c r="U260" s="32">
        <v>124</v>
      </c>
      <c r="V260" s="32">
        <v>94</v>
      </c>
      <c r="W260" s="32">
        <v>51</v>
      </c>
      <c r="X260" s="32">
        <v>275</v>
      </c>
      <c r="Y260" s="32">
        <v>165</v>
      </c>
      <c r="Z260" s="32">
        <v>78</v>
      </c>
      <c r="AA260" s="32">
        <v>469</v>
      </c>
      <c r="AB260" s="32">
        <v>220</v>
      </c>
      <c r="AC260" s="32">
        <v>83</v>
      </c>
      <c r="AD260" s="32">
        <v>156</v>
      </c>
      <c r="AE260" s="32">
        <v>118</v>
      </c>
      <c r="AF260" s="32">
        <v>63</v>
      </c>
      <c r="AG260" s="32">
        <v>625</v>
      </c>
      <c r="AH260" s="32">
        <v>338</v>
      </c>
      <c r="AI260" s="32">
        <v>146</v>
      </c>
      <c r="AJ260" s="32">
        <v>625</v>
      </c>
      <c r="AK260" s="32">
        <v>1242</v>
      </c>
      <c r="AL260" s="32">
        <v>50.3</v>
      </c>
    </row>
    <row r="261" spans="1:38" ht="13.5" hidden="1" customHeight="1">
      <c r="A261" s="30" t="s">
        <v>2272</v>
      </c>
      <c r="B261" s="30" t="s">
        <v>2273</v>
      </c>
      <c r="C261" s="30" t="s">
        <v>235</v>
      </c>
      <c r="D261" s="30" t="s">
        <v>2012</v>
      </c>
      <c r="E261" s="30" t="s">
        <v>2024</v>
      </c>
      <c r="F261" s="30" t="s">
        <v>2025</v>
      </c>
      <c r="G261" s="30"/>
      <c r="H261" s="30" t="s">
        <v>2403</v>
      </c>
      <c r="I261" s="30" t="s">
        <v>2015</v>
      </c>
      <c r="J261" s="30" t="s">
        <v>2015</v>
      </c>
      <c r="K261" s="30" t="s">
        <v>2018</v>
      </c>
      <c r="L261" s="30" t="s">
        <v>2017</v>
      </c>
      <c r="M261" s="30" t="s">
        <v>2018</v>
      </c>
      <c r="N261" s="30" t="s">
        <v>2018</v>
      </c>
      <c r="O261" s="30" t="s">
        <v>2015</v>
      </c>
      <c r="P261" s="32">
        <v>572</v>
      </c>
      <c r="Q261" s="32">
        <v>316</v>
      </c>
      <c r="R261" s="32">
        <v>60</v>
      </c>
      <c r="S261" s="32">
        <v>27</v>
      </c>
      <c r="T261" s="32">
        <v>11</v>
      </c>
      <c r="U261" s="32">
        <v>39</v>
      </c>
      <c r="V261" s="32">
        <v>23</v>
      </c>
      <c r="W261" s="32">
        <v>14</v>
      </c>
      <c r="X261" s="32">
        <v>99</v>
      </c>
      <c r="Y261" s="32">
        <v>50</v>
      </c>
      <c r="Z261" s="32">
        <v>25</v>
      </c>
      <c r="AA261" s="32">
        <v>174</v>
      </c>
      <c r="AB261" s="32">
        <v>78</v>
      </c>
      <c r="AC261" s="32">
        <v>32</v>
      </c>
      <c r="AD261" s="32">
        <v>51</v>
      </c>
      <c r="AE261" s="32">
        <v>30</v>
      </c>
      <c r="AF261" s="32">
        <v>18</v>
      </c>
      <c r="AG261" s="32">
        <v>225</v>
      </c>
      <c r="AH261" s="32">
        <v>108</v>
      </c>
      <c r="AI261" s="32">
        <v>50</v>
      </c>
      <c r="AJ261" s="32">
        <v>225</v>
      </c>
      <c r="AK261" s="32">
        <v>578</v>
      </c>
      <c r="AL261" s="32">
        <v>38.9</v>
      </c>
    </row>
    <row r="262" spans="1:38" ht="13.5" hidden="1" customHeight="1">
      <c r="A262" s="30" t="s">
        <v>2272</v>
      </c>
      <c r="B262" s="30" t="s">
        <v>2273</v>
      </c>
      <c r="C262" s="30" t="s">
        <v>235</v>
      </c>
      <c r="D262" s="30" t="s">
        <v>2012</v>
      </c>
      <c r="E262" s="30" t="s">
        <v>2024</v>
      </c>
      <c r="F262" s="30" t="s">
        <v>2025</v>
      </c>
      <c r="G262" s="30"/>
      <c r="H262" s="30" t="s">
        <v>2404</v>
      </c>
      <c r="I262" s="30" t="s">
        <v>2015</v>
      </c>
      <c r="J262" s="30" t="s">
        <v>2015</v>
      </c>
      <c r="K262" s="30" t="s">
        <v>2018</v>
      </c>
      <c r="L262" s="30" t="s">
        <v>2017</v>
      </c>
      <c r="M262" s="30" t="s">
        <v>2018</v>
      </c>
      <c r="N262" s="30" t="s">
        <v>2018</v>
      </c>
      <c r="O262" s="30" t="s">
        <v>2015</v>
      </c>
      <c r="P262" s="32">
        <v>402</v>
      </c>
      <c r="Q262" s="32">
        <v>691</v>
      </c>
      <c r="R262" s="32">
        <v>48</v>
      </c>
      <c r="S262" s="32">
        <v>31</v>
      </c>
      <c r="T262" s="32">
        <v>19</v>
      </c>
      <c r="U262" s="32">
        <v>26</v>
      </c>
      <c r="V262" s="32">
        <v>17</v>
      </c>
      <c r="W262" s="32">
        <v>8</v>
      </c>
      <c r="X262" s="32">
        <v>74</v>
      </c>
      <c r="Y262" s="32">
        <v>48</v>
      </c>
      <c r="Z262" s="32">
        <v>27</v>
      </c>
      <c r="AA262" s="32">
        <v>130</v>
      </c>
      <c r="AB262" s="32">
        <v>84</v>
      </c>
      <c r="AC262" s="32">
        <v>51</v>
      </c>
      <c r="AD262" s="32">
        <v>29</v>
      </c>
      <c r="AE262" s="32">
        <v>19</v>
      </c>
      <c r="AF262" s="32">
        <v>9</v>
      </c>
      <c r="AG262" s="32">
        <v>159</v>
      </c>
      <c r="AH262" s="32">
        <v>103</v>
      </c>
      <c r="AI262" s="32">
        <v>60</v>
      </c>
      <c r="AJ262" s="32">
        <v>159</v>
      </c>
      <c r="AK262" s="32">
        <v>413</v>
      </c>
      <c r="AL262" s="32">
        <v>38.5</v>
      </c>
    </row>
    <row r="263" spans="1:38" ht="13.5" hidden="1" customHeight="1">
      <c r="A263" s="30" t="s">
        <v>2272</v>
      </c>
      <c r="B263" s="30" t="s">
        <v>2273</v>
      </c>
      <c r="C263" s="30" t="s">
        <v>235</v>
      </c>
      <c r="D263" s="30" t="s">
        <v>2012</v>
      </c>
      <c r="E263" s="30" t="s">
        <v>2024</v>
      </c>
      <c r="F263" s="30" t="s">
        <v>2025</v>
      </c>
      <c r="G263" s="30"/>
      <c r="H263" s="30" t="s">
        <v>2405</v>
      </c>
      <c r="I263" s="30" t="s">
        <v>2015</v>
      </c>
      <c r="J263" s="30" t="s">
        <v>2015</v>
      </c>
      <c r="K263" s="30" t="s">
        <v>2018</v>
      </c>
      <c r="L263" s="30" t="s">
        <v>2017</v>
      </c>
      <c r="M263" s="30" t="s">
        <v>2018</v>
      </c>
      <c r="N263" s="30" t="s">
        <v>2018</v>
      </c>
      <c r="O263" s="30" t="s">
        <v>2015</v>
      </c>
      <c r="P263" s="32">
        <v>0</v>
      </c>
      <c r="Q263" s="32">
        <v>29</v>
      </c>
      <c r="R263" s="32">
        <v>0</v>
      </c>
      <c r="S263" s="32">
        <v>0</v>
      </c>
      <c r="T263" s="32">
        <v>0</v>
      </c>
      <c r="U263" s="32">
        <v>0</v>
      </c>
      <c r="V263" s="32">
        <v>0</v>
      </c>
      <c r="W263" s="32">
        <v>0</v>
      </c>
      <c r="X263" s="32">
        <v>0</v>
      </c>
      <c r="Y263" s="32">
        <v>0</v>
      </c>
      <c r="Z263" s="32">
        <v>0</v>
      </c>
      <c r="AA263" s="32">
        <v>0</v>
      </c>
      <c r="AB263" s="32">
        <v>0</v>
      </c>
      <c r="AC263" s="32">
        <v>0</v>
      </c>
      <c r="AD263" s="32">
        <v>0</v>
      </c>
      <c r="AE263" s="32">
        <v>0</v>
      </c>
      <c r="AF263" s="32">
        <v>0</v>
      </c>
      <c r="AG263" s="32">
        <v>0</v>
      </c>
      <c r="AH263" s="32">
        <v>0</v>
      </c>
      <c r="AI263" s="32">
        <v>0</v>
      </c>
      <c r="AJ263" s="32">
        <v>0</v>
      </c>
      <c r="AK263" s="32">
        <v>0</v>
      </c>
      <c r="AL263" s="32">
        <v>0</v>
      </c>
    </row>
    <row r="264" spans="1:38" ht="13.5" hidden="1" customHeight="1">
      <c r="A264" s="30" t="s">
        <v>2272</v>
      </c>
      <c r="B264" s="30" t="s">
        <v>2273</v>
      </c>
      <c r="C264" s="30" t="s">
        <v>235</v>
      </c>
      <c r="D264" s="30" t="s">
        <v>2012</v>
      </c>
      <c r="E264" s="30" t="s">
        <v>2024</v>
      </c>
      <c r="F264" s="30" t="s">
        <v>2025</v>
      </c>
      <c r="G264" s="30"/>
      <c r="H264" s="30" t="s">
        <v>2406</v>
      </c>
      <c r="I264" s="30" t="s">
        <v>2015</v>
      </c>
      <c r="J264" s="30" t="s">
        <v>2015</v>
      </c>
      <c r="K264" s="30" t="s">
        <v>2018</v>
      </c>
      <c r="L264" s="30" t="s">
        <v>2017</v>
      </c>
      <c r="M264" s="30" t="s">
        <v>2018</v>
      </c>
      <c r="N264" s="30" t="s">
        <v>2018</v>
      </c>
      <c r="O264" s="30" t="s">
        <v>2015</v>
      </c>
      <c r="P264" s="32">
        <v>4123</v>
      </c>
      <c r="Q264" s="32">
        <v>1882</v>
      </c>
      <c r="R264" s="32">
        <v>415</v>
      </c>
      <c r="S264" s="32">
        <v>172</v>
      </c>
      <c r="T264" s="32">
        <v>39</v>
      </c>
      <c r="U264" s="32">
        <v>361</v>
      </c>
      <c r="V264" s="32">
        <v>245</v>
      </c>
      <c r="W264" s="32">
        <v>104</v>
      </c>
      <c r="X264" s="32">
        <v>776</v>
      </c>
      <c r="Y264" s="32">
        <v>417</v>
      </c>
      <c r="Z264" s="32">
        <v>143</v>
      </c>
      <c r="AA264" s="32">
        <v>1248</v>
      </c>
      <c r="AB264" s="32">
        <v>520</v>
      </c>
      <c r="AC264" s="32">
        <v>119</v>
      </c>
      <c r="AD264" s="32">
        <v>459</v>
      </c>
      <c r="AE264" s="32">
        <v>307</v>
      </c>
      <c r="AF264" s="32">
        <v>128</v>
      </c>
      <c r="AG264" s="32">
        <v>1707</v>
      </c>
      <c r="AH264" s="32">
        <v>827</v>
      </c>
      <c r="AI264" s="32">
        <v>247</v>
      </c>
      <c r="AJ264" s="32">
        <v>1707</v>
      </c>
      <c r="AK264" s="32">
        <v>4123</v>
      </c>
      <c r="AL264" s="32">
        <v>41.4</v>
      </c>
    </row>
    <row r="265" spans="1:38" ht="13.5" hidden="1" customHeight="1">
      <c r="A265" s="30" t="s">
        <v>2272</v>
      </c>
      <c r="B265" s="30" t="s">
        <v>2273</v>
      </c>
      <c r="C265" s="30" t="s">
        <v>235</v>
      </c>
      <c r="D265" s="30" t="s">
        <v>2012</v>
      </c>
      <c r="E265" s="30" t="s">
        <v>2024</v>
      </c>
      <c r="F265" s="30" t="s">
        <v>2025</v>
      </c>
      <c r="G265" s="30"/>
      <c r="H265" s="30" t="s">
        <v>2407</v>
      </c>
      <c r="I265" s="30" t="s">
        <v>2015</v>
      </c>
      <c r="J265" s="30" t="s">
        <v>2015</v>
      </c>
      <c r="K265" s="30" t="s">
        <v>2018</v>
      </c>
      <c r="L265" s="30" t="s">
        <v>2017</v>
      </c>
      <c r="M265" s="30" t="s">
        <v>2018</v>
      </c>
      <c r="N265" s="30" t="s">
        <v>2018</v>
      </c>
      <c r="O265" s="30" t="s">
        <v>2015</v>
      </c>
      <c r="P265" s="32">
        <v>70</v>
      </c>
      <c r="Q265" s="32">
        <v>160</v>
      </c>
      <c r="R265" s="32">
        <v>2</v>
      </c>
      <c r="S265" s="32">
        <v>0</v>
      </c>
      <c r="T265" s="32">
        <v>0</v>
      </c>
      <c r="U265" s="32">
        <v>15</v>
      </c>
      <c r="V265" s="32">
        <v>6</v>
      </c>
      <c r="W265" s="32">
        <v>0</v>
      </c>
      <c r="X265" s="32">
        <v>17</v>
      </c>
      <c r="Y265" s="32">
        <v>6</v>
      </c>
      <c r="Z265" s="32">
        <v>0</v>
      </c>
      <c r="AA265" s="32">
        <v>6</v>
      </c>
      <c r="AB265" s="32">
        <v>0</v>
      </c>
      <c r="AC265" s="32">
        <v>0</v>
      </c>
      <c r="AD265" s="32">
        <v>23</v>
      </c>
      <c r="AE265" s="32">
        <v>9</v>
      </c>
      <c r="AF265" s="32">
        <v>0</v>
      </c>
      <c r="AG265" s="32">
        <v>29</v>
      </c>
      <c r="AH265" s="32">
        <v>9</v>
      </c>
      <c r="AI265" s="32">
        <v>0</v>
      </c>
      <c r="AJ265" s="32">
        <v>29</v>
      </c>
      <c r="AK265" s="32">
        <v>63</v>
      </c>
      <c r="AL265" s="32">
        <v>46</v>
      </c>
    </row>
    <row r="266" spans="1:38" ht="13.5" hidden="1" customHeight="1">
      <c r="A266" s="30" t="s">
        <v>2272</v>
      </c>
      <c r="B266" s="30" t="s">
        <v>2273</v>
      </c>
      <c r="C266" s="30" t="s">
        <v>235</v>
      </c>
      <c r="D266" s="30" t="s">
        <v>2012</v>
      </c>
      <c r="E266" s="30" t="s">
        <v>2026</v>
      </c>
      <c r="F266" s="30" t="s">
        <v>2027</v>
      </c>
      <c r="G266" s="30"/>
      <c r="H266" s="30" t="s">
        <v>2408</v>
      </c>
      <c r="I266" s="30" t="s">
        <v>2015</v>
      </c>
      <c r="J266" s="30" t="s">
        <v>2015</v>
      </c>
      <c r="K266" s="30" t="s">
        <v>2018</v>
      </c>
      <c r="L266" s="30" t="s">
        <v>2017</v>
      </c>
      <c r="M266" s="30" t="s">
        <v>2018</v>
      </c>
      <c r="N266" s="30" t="s">
        <v>2018</v>
      </c>
      <c r="O266" s="30" t="s">
        <v>2015</v>
      </c>
      <c r="P266" s="32">
        <v>230</v>
      </c>
      <c r="Q266" s="32">
        <v>153</v>
      </c>
      <c r="R266" s="32">
        <v>31</v>
      </c>
      <c r="S266" s="32">
        <v>16</v>
      </c>
      <c r="T266" s="32">
        <v>6</v>
      </c>
      <c r="U266" s="32">
        <v>29</v>
      </c>
      <c r="V266" s="32">
        <v>17</v>
      </c>
      <c r="W266" s="32">
        <v>10</v>
      </c>
      <c r="X266" s="32">
        <v>60</v>
      </c>
      <c r="Y266" s="32">
        <v>33</v>
      </c>
      <c r="Z266" s="32">
        <v>16</v>
      </c>
      <c r="AA266" s="32">
        <v>84</v>
      </c>
      <c r="AB266" s="32">
        <v>43</v>
      </c>
      <c r="AC266" s="32">
        <v>16</v>
      </c>
      <c r="AD266" s="32">
        <v>38</v>
      </c>
      <c r="AE266" s="32">
        <v>22</v>
      </c>
      <c r="AF266" s="32">
        <v>13</v>
      </c>
      <c r="AG266" s="32">
        <v>122</v>
      </c>
      <c r="AH266" s="32">
        <v>65</v>
      </c>
      <c r="AI266" s="32">
        <v>29</v>
      </c>
      <c r="AJ266" s="32">
        <v>122</v>
      </c>
      <c r="AK266" s="32">
        <v>222</v>
      </c>
      <c r="AL266" s="32">
        <v>55</v>
      </c>
    </row>
    <row r="267" spans="1:38" ht="13.5" hidden="1" customHeight="1">
      <c r="A267" s="30" t="s">
        <v>2272</v>
      </c>
      <c r="B267" s="30" t="s">
        <v>2273</v>
      </c>
      <c r="C267" s="30" t="s">
        <v>235</v>
      </c>
      <c r="D267" s="30" t="s">
        <v>2012</v>
      </c>
      <c r="E267" s="30" t="s">
        <v>2026</v>
      </c>
      <c r="F267" s="30" t="s">
        <v>2027</v>
      </c>
      <c r="G267" s="30"/>
      <c r="H267" s="30" t="s">
        <v>2409</v>
      </c>
      <c r="I267" s="30" t="s">
        <v>2015</v>
      </c>
      <c r="J267" s="30" t="s">
        <v>2015</v>
      </c>
      <c r="K267" s="30" t="s">
        <v>2018</v>
      </c>
      <c r="L267" s="30" t="s">
        <v>2017</v>
      </c>
      <c r="M267" s="30" t="s">
        <v>2018</v>
      </c>
      <c r="N267" s="30" t="s">
        <v>2018</v>
      </c>
      <c r="O267" s="30" t="s">
        <v>2015</v>
      </c>
      <c r="P267" s="32">
        <v>121</v>
      </c>
      <c r="Q267" s="32">
        <v>119</v>
      </c>
      <c r="R267" s="32">
        <v>15</v>
      </c>
      <c r="S267" s="32">
        <v>10</v>
      </c>
      <c r="T267" s="32">
        <v>6</v>
      </c>
      <c r="U267" s="32">
        <v>9</v>
      </c>
      <c r="V267" s="32">
        <v>7</v>
      </c>
      <c r="W267" s="32">
        <v>3</v>
      </c>
      <c r="X267" s="32">
        <v>24</v>
      </c>
      <c r="Y267" s="32">
        <v>17</v>
      </c>
      <c r="Z267" s="32">
        <v>9</v>
      </c>
      <c r="AA267" s="32">
        <v>47</v>
      </c>
      <c r="AB267" s="32">
        <v>31</v>
      </c>
      <c r="AC267" s="32">
        <v>19</v>
      </c>
      <c r="AD267" s="32">
        <v>14</v>
      </c>
      <c r="AE267" s="32">
        <v>11</v>
      </c>
      <c r="AF267" s="32">
        <v>5</v>
      </c>
      <c r="AG267" s="32">
        <v>61</v>
      </c>
      <c r="AH267" s="32">
        <v>42</v>
      </c>
      <c r="AI267" s="32">
        <v>24</v>
      </c>
      <c r="AJ267" s="32">
        <v>61</v>
      </c>
      <c r="AK267" s="32">
        <v>110</v>
      </c>
      <c r="AL267" s="32">
        <v>55.5</v>
      </c>
    </row>
    <row r="268" spans="1:38" ht="13.5" hidden="1" customHeight="1">
      <c r="A268" s="30" t="s">
        <v>2272</v>
      </c>
      <c r="B268" s="30" t="s">
        <v>2273</v>
      </c>
      <c r="C268" s="30" t="s">
        <v>235</v>
      </c>
      <c r="D268" s="30" t="s">
        <v>2012</v>
      </c>
      <c r="E268" s="30" t="s">
        <v>2026</v>
      </c>
      <c r="F268" s="30" t="s">
        <v>2027</v>
      </c>
      <c r="G268" s="30"/>
      <c r="H268" s="30" t="s">
        <v>2410</v>
      </c>
      <c r="I268" s="30" t="s">
        <v>2015</v>
      </c>
      <c r="J268" s="30" t="s">
        <v>2015</v>
      </c>
      <c r="K268" s="30" t="s">
        <v>2018</v>
      </c>
      <c r="L268" s="30" t="s">
        <v>2017</v>
      </c>
      <c r="M268" s="30" t="s">
        <v>2018</v>
      </c>
      <c r="N268" s="30" t="s">
        <v>2018</v>
      </c>
      <c r="O268" s="30" t="s">
        <v>2015</v>
      </c>
      <c r="P268" s="32">
        <v>4820</v>
      </c>
      <c r="Q268" s="32">
        <v>2805</v>
      </c>
      <c r="R268" s="32">
        <v>276</v>
      </c>
      <c r="S268" s="32">
        <v>129</v>
      </c>
      <c r="T268" s="32">
        <v>57</v>
      </c>
      <c r="U268" s="32">
        <v>582</v>
      </c>
      <c r="V268" s="32">
        <v>414</v>
      </c>
      <c r="W268" s="32">
        <v>225</v>
      </c>
      <c r="X268" s="32">
        <v>858</v>
      </c>
      <c r="Y268" s="32">
        <v>543</v>
      </c>
      <c r="Z268" s="32">
        <v>282</v>
      </c>
      <c r="AA268" s="32">
        <v>787</v>
      </c>
      <c r="AB268" s="32">
        <v>359</v>
      </c>
      <c r="AC268" s="32">
        <v>151</v>
      </c>
      <c r="AD268" s="32">
        <v>780</v>
      </c>
      <c r="AE268" s="32">
        <v>553</v>
      </c>
      <c r="AF268" s="32">
        <v>298</v>
      </c>
      <c r="AG268" s="32">
        <v>1567</v>
      </c>
      <c r="AH268" s="32">
        <v>912</v>
      </c>
      <c r="AI268" s="32">
        <v>449</v>
      </c>
      <c r="AJ268" s="32">
        <v>1567</v>
      </c>
      <c r="AK268" s="32">
        <v>4625</v>
      </c>
      <c r="AL268" s="32">
        <v>33.9</v>
      </c>
    </row>
    <row r="269" spans="1:38" ht="13.5" hidden="1" customHeight="1">
      <c r="A269" s="30" t="s">
        <v>2272</v>
      </c>
      <c r="B269" s="30" t="s">
        <v>2273</v>
      </c>
      <c r="C269" s="30" t="s">
        <v>235</v>
      </c>
      <c r="D269" s="30" t="s">
        <v>2012</v>
      </c>
      <c r="E269" s="30" t="s">
        <v>2026</v>
      </c>
      <c r="F269" s="30" t="s">
        <v>2027</v>
      </c>
      <c r="G269" s="30"/>
      <c r="H269" s="30" t="s">
        <v>2411</v>
      </c>
      <c r="I269" s="30" t="s">
        <v>2015</v>
      </c>
      <c r="J269" s="30" t="s">
        <v>2015</v>
      </c>
      <c r="K269" s="30" t="s">
        <v>2018</v>
      </c>
      <c r="L269" s="30" t="s">
        <v>2017</v>
      </c>
      <c r="M269" s="30" t="s">
        <v>2018</v>
      </c>
      <c r="N269" s="30" t="s">
        <v>2018</v>
      </c>
      <c r="O269" s="30" t="s">
        <v>2015</v>
      </c>
      <c r="P269" s="32">
        <v>2390</v>
      </c>
      <c r="Q269" s="32">
        <v>1486</v>
      </c>
      <c r="R269" s="32">
        <v>244</v>
      </c>
      <c r="S269" s="32">
        <v>135</v>
      </c>
      <c r="T269" s="32">
        <v>47</v>
      </c>
      <c r="U269" s="32">
        <v>259</v>
      </c>
      <c r="V269" s="32">
        <v>162</v>
      </c>
      <c r="W269" s="32">
        <v>88</v>
      </c>
      <c r="X269" s="32">
        <v>503</v>
      </c>
      <c r="Y269" s="32">
        <v>297</v>
      </c>
      <c r="Z269" s="32">
        <v>135</v>
      </c>
      <c r="AA269" s="32">
        <v>678</v>
      </c>
      <c r="AB269" s="32">
        <v>374</v>
      </c>
      <c r="AC269" s="32">
        <v>130</v>
      </c>
      <c r="AD269" s="32">
        <v>324</v>
      </c>
      <c r="AE269" s="32">
        <v>203</v>
      </c>
      <c r="AF269" s="32">
        <v>110</v>
      </c>
      <c r="AG269" s="32">
        <v>1002</v>
      </c>
      <c r="AH269" s="32">
        <v>577</v>
      </c>
      <c r="AI269" s="32">
        <v>240</v>
      </c>
      <c r="AJ269" s="32">
        <v>1002</v>
      </c>
      <c r="AK269" s="32">
        <v>2390</v>
      </c>
      <c r="AL269" s="32">
        <v>41.9</v>
      </c>
    </row>
    <row r="270" spans="1:38" ht="13.5" hidden="1" customHeight="1">
      <c r="A270" s="30" t="s">
        <v>2272</v>
      </c>
      <c r="B270" s="30" t="s">
        <v>2273</v>
      </c>
      <c r="C270" s="30" t="s">
        <v>235</v>
      </c>
      <c r="D270" s="30" t="s">
        <v>2012</v>
      </c>
      <c r="E270" s="30" t="s">
        <v>2026</v>
      </c>
      <c r="F270" s="30" t="s">
        <v>2027</v>
      </c>
      <c r="G270" s="30"/>
      <c r="H270" s="30" t="s">
        <v>2412</v>
      </c>
      <c r="I270" s="30" t="s">
        <v>2015</v>
      </c>
      <c r="J270" s="30" t="s">
        <v>2015</v>
      </c>
      <c r="K270" s="30" t="s">
        <v>2018</v>
      </c>
      <c r="L270" s="30" t="s">
        <v>2017</v>
      </c>
      <c r="M270" s="30" t="s">
        <v>2018</v>
      </c>
      <c r="N270" s="30" t="s">
        <v>2018</v>
      </c>
      <c r="O270" s="30" t="s">
        <v>2015</v>
      </c>
      <c r="P270" s="32">
        <v>841</v>
      </c>
      <c r="Q270" s="32">
        <v>697</v>
      </c>
      <c r="R270" s="32">
        <v>74</v>
      </c>
      <c r="S270" s="32">
        <v>34</v>
      </c>
      <c r="T270" s="32">
        <v>16</v>
      </c>
      <c r="U270" s="32">
        <v>77</v>
      </c>
      <c r="V270" s="32">
        <v>47</v>
      </c>
      <c r="W270" s="32">
        <v>23</v>
      </c>
      <c r="X270" s="32">
        <v>151</v>
      </c>
      <c r="Y270" s="32">
        <v>81</v>
      </c>
      <c r="Z270" s="32">
        <v>39</v>
      </c>
      <c r="AA270" s="32">
        <v>215</v>
      </c>
      <c r="AB270" s="32">
        <v>99</v>
      </c>
      <c r="AC270" s="32">
        <v>46</v>
      </c>
      <c r="AD270" s="32">
        <v>92</v>
      </c>
      <c r="AE270" s="32">
        <v>56</v>
      </c>
      <c r="AF270" s="32">
        <v>28</v>
      </c>
      <c r="AG270" s="32">
        <v>307</v>
      </c>
      <c r="AH270" s="32">
        <v>155</v>
      </c>
      <c r="AI270" s="32">
        <v>74</v>
      </c>
      <c r="AJ270" s="32">
        <v>307</v>
      </c>
      <c r="AK270" s="32">
        <v>853</v>
      </c>
      <c r="AL270" s="32">
        <v>36</v>
      </c>
    </row>
    <row r="271" spans="1:38" ht="13.5" hidden="1" customHeight="1">
      <c r="A271" s="30" t="s">
        <v>2272</v>
      </c>
      <c r="B271" s="30" t="s">
        <v>2273</v>
      </c>
      <c r="C271" s="30" t="s">
        <v>235</v>
      </c>
      <c r="D271" s="30" t="s">
        <v>2012</v>
      </c>
      <c r="E271" s="30" t="s">
        <v>2026</v>
      </c>
      <c r="F271" s="30" t="s">
        <v>2027</v>
      </c>
      <c r="G271" s="30"/>
      <c r="H271" s="30" t="s">
        <v>2413</v>
      </c>
      <c r="I271" s="30" t="s">
        <v>2015</v>
      </c>
      <c r="J271" s="30" t="s">
        <v>2015</v>
      </c>
      <c r="K271" s="30" t="s">
        <v>2018</v>
      </c>
      <c r="L271" s="30" t="s">
        <v>2017</v>
      </c>
      <c r="M271" s="30" t="s">
        <v>2018</v>
      </c>
      <c r="N271" s="30" t="s">
        <v>2018</v>
      </c>
      <c r="O271" s="30" t="s">
        <v>2015</v>
      </c>
      <c r="P271" s="32">
        <v>911</v>
      </c>
      <c r="Q271" s="32">
        <v>791</v>
      </c>
      <c r="R271" s="32">
        <v>87</v>
      </c>
      <c r="S271" s="32">
        <v>35</v>
      </c>
      <c r="T271" s="32">
        <v>17</v>
      </c>
      <c r="U271" s="32">
        <v>77</v>
      </c>
      <c r="V271" s="32">
        <v>39</v>
      </c>
      <c r="W271" s="32">
        <v>17</v>
      </c>
      <c r="X271" s="32">
        <v>164</v>
      </c>
      <c r="Y271" s="32">
        <v>74</v>
      </c>
      <c r="Z271" s="32">
        <v>34</v>
      </c>
      <c r="AA271" s="32">
        <v>235</v>
      </c>
      <c r="AB271" s="32">
        <v>93</v>
      </c>
      <c r="AC271" s="32">
        <v>45</v>
      </c>
      <c r="AD271" s="32">
        <v>96</v>
      </c>
      <c r="AE271" s="32">
        <v>48</v>
      </c>
      <c r="AF271" s="32">
        <v>21</v>
      </c>
      <c r="AG271" s="32">
        <v>331</v>
      </c>
      <c r="AH271" s="32">
        <v>141</v>
      </c>
      <c r="AI271" s="32">
        <v>66</v>
      </c>
      <c r="AJ271" s="32">
        <v>331</v>
      </c>
      <c r="AK271" s="32">
        <v>911</v>
      </c>
      <c r="AL271" s="32">
        <v>36.299999999999997</v>
      </c>
    </row>
    <row r="272" spans="1:38" ht="13.5" hidden="1" customHeight="1">
      <c r="A272" s="30" t="s">
        <v>2272</v>
      </c>
      <c r="B272" s="30" t="s">
        <v>2273</v>
      </c>
      <c r="C272" s="30" t="s">
        <v>235</v>
      </c>
      <c r="D272" s="30" t="s">
        <v>2012</v>
      </c>
      <c r="E272" s="30" t="s">
        <v>2026</v>
      </c>
      <c r="F272" s="30" t="s">
        <v>2027</v>
      </c>
      <c r="G272" s="30"/>
      <c r="H272" s="30" t="s">
        <v>2414</v>
      </c>
      <c r="I272" s="30" t="s">
        <v>2015</v>
      </c>
      <c r="J272" s="30" t="s">
        <v>2015</v>
      </c>
      <c r="K272" s="30" t="s">
        <v>2018</v>
      </c>
      <c r="L272" s="30" t="s">
        <v>2017</v>
      </c>
      <c r="M272" s="30" t="s">
        <v>2018</v>
      </c>
      <c r="N272" s="30" t="s">
        <v>2018</v>
      </c>
      <c r="O272" s="30" t="s">
        <v>2015</v>
      </c>
      <c r="P272" s="32">
        <v>4908</v>
      </c>
      <c r="Q272" s="32">
        <v>2282</v>
      </c>
      <c r="R272" s="32">
        <v>468</v>
      </c>
      <c r="S272" s="32">
        <v>210</v>
      </c>
      <c r="T272" s="32">
        <v>125</v>
      </c>
      <c r="U272" s="32">
        <v>447</v>
      </c>
      <c r="V272" s="32">
        <v>297</v>
      </c>
      <c r="W272" s="32">
        <v>150</v>
      </c>
      <c r="X272" s="32">
        <v>915</v>
      </c>
      <c r="Y272" s="32">
        <v>507</v>
      </c>
      <c r="Z272" s="32">
        <v>275</v>
      </c>
      <c r="AA272" s="32">
        <v>1395</v>
      </c>
      <c r="AB272" s="32">
        <v>630</v>
      </c>
      <c r="AC272" s="32">
        <v>378</v>
      </c>
      <c r="AD272" s="32">
        <v>513</v>
      </c>
      <c r="AE272" s="32">
        <v>343</v>
      </c>
      <c r="AF272" s="32">
        <v>170</v>
      </c>
      <c r="AG272" s="32">
        <v>1908</v>
      </c>
      <c r="AH272" s="32">
        <v>973</v>
      </c>
      <c r="AI272" s="32">
        <v>548</v>
      </c>
      <c r="AJ272" s="32">
        <v>1908</v>
      </c>
      <c r="AK272" s="32">
        <v>4870</v>
      </c>
      <c r="AL272" s="32">
        <v>39.200000000000003</v>
      </c>
    </row>
    <row r="273" spans="1:38" ht="13.5" hidden="1" customHeight="1">
      <c r="A273" s="30" t="s">
        <v>2272</v>
      </c>
      <c r="B273" s="30" t="s">
        <v>2273</v>
      </c>
      <c r="C273" s="30" t="s">
        <v>235</v>
      </c>
      <c r="D273" s="30" t="s">
        <v>2012</v>
      </c>
      <c r="E273" s="30" t="s">
        <v>2026</v>
      </c>
      <c r="F273" s="30" t="s">
        <v>2027</v>
      </c>
      <c r="G273" s="30"/>
      <c r="H273" s="30" t="s">
        <v>2415</v>
      </c>
      <c r="I273" s="30" t="s">
        <v>2015</v>
      </c>
      <c r="J273" s="30" t="s">
        <v>2015</v>
      </c>
      <c r="K273" s="30" t="s">
        <v>2018</v>
      </c>
      <c r="L273" s="30" t="s">
        <v>2017</v>
      </c>
      <c r="M273" s="30" t="s">
        <v>2018</v>
      </c>
      <c r="N273" s="30" t="s">
        <v>2018</v>
      </c>
      <c r="O273" s="30" t="s">
        <v>2015</v>
      </c>
      <c r="P273" s="32">
        <v>1343</v>
      </c>
      <c r="Q273" s="32">
        <v>649</v>
      </c>
      <c r="R273" s="32">
        <v>41</v>
      </c>
      <c r="S273" s="32">
        <v>15</v>
      </c>
      <c r="T273" s="32">
        <v>8</v>
      </c>
      <c r="U273" s="32">
        <v>70</v>
      </c>
      <c r="V273" s="32">
        <v>44</v>
      </c>
      <c r="W273" s="32">
        <v>33</v>
      </c>
      <c r="X273" s="32">
        <v>111</v>
      </c>
      <c r="Y273" s="32">
        <v>59</v>
      </c>
      <c r="Z273" s="32">
        <v>41</v>
      </c>
      <c r="AA273" s="32">
        <v>111</v>
      </c>
      <c r="AB273" s="32">
        <v>41</v>
      </c>
      <c r="AC273" s="32">
        <v>22</v>
      </c>
      <c r="AD273" s="32">
        <v>98</v>
      </c>
      <c r="AE273" s="32">
        <v>62</v>
      </c>
      <c r="AF273" s="32">
        <v>46</v>
      </c>
      <c r="AG273" s="32">
        <v>209</v>
      </c>
      <c r="AH273" s="32">
        <v>103</v>
      </c>
      <c r="AI273" s="32">
        <v>68</v>
      </c>
      <c r="AJ273" s="32">
        <v>209</v>
      </c>
      <c r="AK273" s="32">
        <v>806</v>
      </c>
      <c r="AL273" s="32">
        <v>25.9</v>
      </c>
    </row>
    <row r="274" spans="1:38" ht="13.5" hidden="1" customHeight="1">
      <c r="A274" s="30" t="s">
        <v>2272</v>
      </c>
      <c r="B274" s="30" t="s">
        <v>2273</v>
      </c>
      <c r="C274" s="30" t="s">
        <v>235</v>
      </c>
      <c r="D274" s="30" t="s">
        <v>2012</v>
      </c>
      <c r="E274" s="30" t="s">
        <v>2026</v>
      </c>
      <c r="F274" s="30" t="s">
        <v>2027</v>
      </c>
      <c r="G274" s="30"/>
      <c r="H274" s="30" t="s">
        <v>2416</v>
      </c>
      <c r="I274" s="30" t="s">
        <v>2015</v>
      </c>
      <c r="J274" s="30" t="s">
        <v>2015</v>
      </c>
      <c r="K274" s="30" t="s">
        <v>2018</v>
      </c>
      <c r="L274" s="30" t="s">
        <v>2017</v>
      </c>
      <c r="M274" s="30" t="s">
        <v>2018</v>
      </c>
      <c r="N274" s="30" t="s">
        <v>2018</v>
      </c>
      <c r="O274" s="30" t="s">
        <v>2015</v>
      </c>
      <c r="P274" s="32">
        <v>138</v>
      </c>
      <c r="Q274" s="32">
        <v>102</v>
      </c>
      <c r="R274" s="32">
        <v>19</v>
      </c>
      <c r="S274" s="32">
        <v>6</v>
      </c>
      <c r="T274" s="32">
        <v>3</v>
      </c>
      <c r="U274" s="32">
        <v>24</v>
      </c>
      <c r="V274" s="32">
        <v>17</v>
      </c>
      <c r="W274" s="32">
        <v>11</v>
      </c>
      <c r="X274" s="32">
        <v>43</v>
      </c>
      <c r="Y274" s="32">
        <v>23</v>
      </c>
      <c r="Z274" s="32">
        <v>14</v>
      </c>
      <c r="AA274" s="32">
        <v>61</v>
      </c>
      <c r="AB274" s="32">
        <v>19</v>
      </c>
      <c r="AC274" s="32">
        <v>10</v>
      </c>
      <c r="AD274" s="32">
        <v>36</v>
      </c>
      <c r="AE274" s="32">
        <v>26</v>
      </c>
      <c r="AF274" s="32">
        <v>17</v>
      </c>
      <c r="AG274" s="32">
        <v>97</v>
      </c>
      <c r="AH274" s="32">
        <v>45</v>
      </c>
      <c r="AI274" s="32">
        <v>27</v>
      </c>
      <c r="AJ274" s="32">
        <v>97</v>
      </c>
      <c r="AK274" s="32">
        <v>153</v>
      </c>
      <c r="AL274" s="32">
        <v>63.4</v>
      </c>
    </row>
    <row r="275" spans="1:38" ht="13.5" hidden="1" customHeight="1">
      <c r="A275" s="30" t="s">
        <v>2272</v>
      </c>
      <c r="B275" s="30" t="s">
        <v>2273</v>
      </c>
      <c r="C275" s="30" t="s">
        <v>235</v>
      </c>
      <c r="D275" s="30" t="s">
        <v>2012</v>
      </c>
      <c r="E275" s="30" t="s">
        <v>2026</v>
      </c>
      <c r="F275" s="30" t="s">
        <v>2027</v>
      </c>
      <c r="G275" s="30"/>
      <c r="H275" s="30" t="s">
        <v>2417</v>
      </c>
      <c r="I275" s="30" t="s">
        <v>2015</v>
      </c>
      <c r="J275" s="30" t="s">
        <v>2015</v>
      </c>
      <c r="K275" s="30" t="s">
        <v>2018</v>
      </c>
      <c r="L275" s="30" t="s">
        <v>2017</v>
      </c>
      <c r="M275" s="30" t="s">
        <v>2018</v>
      </c>
      <c r="N275" s="30" t="s">
        <v>2018</v>
      </c>
      <c r="O275" s="30" t="s">
        <v>2015</v>
      </c>
      <c r="P275" s="32">
        <v>128</v>
      </c>
      <c r="Q275" s="32">
        <v>344</v>
      </c>
      <c r="R275" s="32">
        <v>9</v>
      </c>
      <c r="S275" s="32">
        <v>3</v>
      </c>
      <c r="T275" s="32">
        <v>2</v>
      </c>
      <c r="U275" s="32">
        <v>18</v>
      </c>
      <c r="V275" s="32">
        <v>10</v>
      </c>
      <c r="W275" s="32">
        <v>5</v>
      </c>
      <c r="X275" s="32">
        <v>27</v>
      </c>
      <c r="Y275" s="32">
        <v>13</v>
      </c>
      <c r="Z275" s="32">
        <v>7</v>
      </c>
      <c r="AA275" s="32">
        <v>20</v>
      </c>
      <c r="AB275" s="32">
        <v>7</v>
      </c>
      <c r="AC275" s="32">
        <v>4</v>
      </c>
      <c r="AD275" s="32">
        <v>27</v>
      </c>
      <c r="AE275" s="32">
        <v>15</v>
      </c>
      <c r="AF275" s="32">
        <v>8</v>
      </c>
      <c r="AG275" s="32">
        <v>47</v>
      </c>
      <c r="AH275" s="32">
        <v>22</v>
      </c>
      <c r="AI275" s="32">
        <v>12</v>
      </c>
      <c r="AJ275" s="32">
        <v>47</v>
      </c>
      <c r="AK275" s="32">
        <v>128</v>
      </c>
      <c r="AL275" s="32">
        <v>36.700000000000003</v>
      </c>
    </row>
    <row r="276" spans="1:38" ht="13.5" hidden="1" customHeight="1">
      <c r="A276" s="30" t="s">
        <v>2272</v>
      </c>
      <c r="B276" s="30" t="s">
        <v>2273</v>
      </c>
      <c r="C276" s="30" t="s">
        <v>235</v>
      </c>
      <c r="D276" s="30" t="s">
        <v>2012</v>
      </c>
      <c r="E276" s="30" t="s">
        <v>2026</v>
      </c>
      <c r="F276" s="30" t="s">
        <v>2027</v>
      </c>
      <c r="G276" s="30"/>
      <c r="H276" s="30" t="s">
        <v>2418</v>
      </c>
      <c r="I276" s="30" t="s">
        <v>2015</v>
      </c>
      <c r="J276" s="30" t="s">
        <v>2015</v>
      </c>
      <c r="K276" s="30" t="s">
        <v>2018</v>
      </c>
      <c r="L276" s="30" t="s">
        <v>2017</v>
      </c>
      <c r="M276" s="30" t="s">
        <v>2018</v>
      </c>
      <c r="N276" s="30" t="s">
        <v>2018</v>
      </c>
      <c r="O276" s="30" t="s">
        <v>2015</v>
      </c>
      <c r="P276" s="32">
        <v>1422</v>
      </c>
      <c r="Q276" s="32">
        <v>1055</v>
      </c>
      <c r="R276" s="32">
        <v>100</v>
      </c>
      <c r="S276" s="32">
        <v>41</v>
      </c>
      <c r="T276" s="32">
        <v>15</v>
      </c>
      <c r="U276" s="32">
        <v>60</v>
      </c>
      <c r="V276" s="32">
        <v>46</v>
      </c>
      <c r="W276" s="32">
        <v>21</v>
      </c>
      <c r="X276" s="32">
        <v>160</v>
      </c>
      <c r="Y276" s="32">
        <v>87</v>
      </c>
      <c r="Z276" s="32">
        <v>36</v>
      </c>
      <c r="AA276" s="32">
        <v>297</v>
      </c>
      <c r="AB276" s="32">
        <v>122</v>
      </c>
      <c r="AC276" s="32">
        <v>44</v>
      </c>
      <c r="AD276" s="32">
        <v>79</v>
      </c>
      <c r="AE276" s="32">
        <v>60</v>
      </c>
      <c r="AF276" s="32">
        <v>27</v>
      </c>
      <c r="AG276" s="32">
        <v>376</v>
      </c>
      <c r="AH276" s="32">
        <v>182</v>
      </c>
      <c r="AI276" s="32">
        <v>71</v>
      </c>
      <c r="AJ276" s="32">
        <v>376</v>
      </c>
      <c r="AK276" s="32">
        <v>1417</v>
      </c>
      <c r="AL276" s="32">
        <v>26.5</v>
      </c>
    </row>
    <row r="277" spans="1:38" ht="13.5" hidden="1" customHeight="1">
      <c r="A277" s="30" t="s">
        <v>2272</v>
      </c>
      <c r="B277" s="30" t="s">
        <v>2273</v>
      </c>
      <c r="C277" s="30" t="s">
        <v>235</v>
      </c>
      <c r="D277" s="30" t="s">
        <v>2012</v>
      </c>
      <c r="E277" s="30" t="s">
        <v>2026</v>
      </c>
      <c r="F277" s="30" t="s">
        <v>2027</v>
      </c>
      <c r="G277" s="30"/>
      <c r="H277" s="30" t="s">
        <v>2419</v>
      </c>
      <c r="I277" s="30" t="s">
        <v>2015</v>
      </c>
      <c r="J277" s="30" t="s">
        <v>2015</v>
      </c>
      <c r="K277" s="30" t="s">
        <v>2018</v>
      </c>
      <c r="L277" s="30" t="s">
        <v>2017</v>
      </c>
      <c r="M277" s="30" t="s">
        <v>2018</v>
      </c>
      <c r="N277" s="30" t="s">
        <v>2018</v>
      </c>
      <c r="O277" s="30" t="s">
        <v>2015</v>
      </c>
      <c r="P277" s="32">
        <v>1876</v>
      </c>
      <c r="Q277" s="32">
        <v>1575</v>
      </c>
      <c r="R277" s="32">
        <v>185</v>
      </c>
      <c r="S277" s="32">
        <v>97</v>
      </c>
      <c r="T277" s="32">
        <v>32</v>
      </c>
      <c r="U277" s="32">
        <v>193</v>
      </c>
      <c r="V277" s="32">
        <v>133</v>
      </c>
      <c r="W277" s="32">
        <v>71</v>
      </c>
      <c r="X277" s="32">
        <v>378</v>
      </c>
      <c r="Y277" s="32">
        <v>230</v>
      </c>
      <c r="Z277" s="32">
        <v>103</v>
      </c>
      <c r="AA277" s="32">
        <v>538</v>
      </c>
      <c r="AB277" s="32">
        <v>282</v>
      </c>
      <c r="AC277" s="32">
        <v>92</v>
      </c>
      <c r="AD277" s="32">
        <v>220</v>
      </c>
      <c r="AE277" s="32">
        <v>153</v>
      </c>
      <c r="AF277" s="32">
        <v>81</v>
      </c>
      <c r="AG277" s="32">
        <v>758</v>
      </c>
      <c r="AH277" s="32">
        <v>435</v>
      </c>
      <c r="AI277" s="32">
        <v>173</v>
      </c>
      <c r="AJ277" s="32">
        <v>758</v>
      </c>
      <c r="AK277" s="32">
        <v>1845</v>
      </c>
      <c r="AL277" s="32">
        <v>41.1</v>
      </c>
    </row>
    <row r="278" spans="1:38" ht="13.5" hidden="1" customHeight="1">
      <c r="A278" s="30" t="s">
        <v>2272</v>
      </c>
      <c r="B278" s="30" t="s">
        <v>2273</v>
      </c>
      <c r="C278" s="30" t="s">
        <v>235</v>
      </c>
      <c r="D278" s="30" t="s">
        <v>2012</v>
      </c>
      <c r="E278" s="30" t="s">
        <v>2026</v>
      </c>
      <c r="F278" s="30" t="s">
        <v>2027</v>
      </c>
      <c r="G278" s="30"/>
      <c r="H278" s="30" t="s">
        <v>2420</v>
      </c>
      <c r="I278" s="30" t="s">
        <v>2015</v>
      </c>
      <c r="J278" s="30" t="s">
        <v>2015</v>
      </c>
      <c r="K278" s="30" t="s">
        <v>2018</v>
      </c>
      <c r="L278" s="30" t="s">
        <v>2017</v>
      </c>
      <c r="M278" s="30" t="s">
        <v>2018</v>
      </c>
      <c r="N278" s="30" t="s">
        <v>2018</v>
      </c>
      <c r="O278" s="30" t="s">
        <v>2015</v>
      </c>
      <c r="P278" s="32">
        <v>370</v>
      </c>
      <c r="Q278" s="32">
        <v>426</v>
      </c>
      <c r="R278" s="32">
        <v>35</v>
      </c>
      <c r="S278" s="32">
        <v>19</v>
      </c>
      <c r="T278" s="32">
        <v>9</v>
      </c>
      <c r="U278" s="32">
        <v>38</v>
      </c>
      <c r="V278" s="32">
        <v>29</v>
      </c>
      <c r="W278" s="32">
        <v>14</v>
      </c>
      <c r="X278" s="32">
        <v>73</v>
      </c>
      <c r="Y278" s="32">
        <v>48</v>
      </c>
      <c r="Z278" s="32">
        <v>23</v>
      </c>
      <c r="AA278" s="32">
        <v>102</v>
      </c>
      <c r="AB278" s="32">
        <v>55</v>
      </c>
      <c r="AC278" s="32">
        <v>26</v>
      </c>
      <c r="AD278" s="32">
        <v>46</v>
      </c>
      <c r="AE278" s="32">
        <v>35</v>
      </c>
      <c r="AF278" s="32">
        <v>17</v>
      </c>
      <c r="AG278" s="32">
        <v>148</v>
      </c>
      <c r="AH278" s="32">
        <v>90</v>
      </c>
      <c r="AI278" s="32">
        <v>43</v>
      </c>
      <c r="AJ278" s="32">
        <v>148</v>
      </c>
      <c r="AK278" s="32">
        <v>373</v>
      </c>
      <c r="AL278" s="32">
        <v>39.700000000000003</v>
      </c>
    </row>
    <row r="279" spans="1:38" ht="13.5" hidden="1" customHeight="1">
      <c r="A279" s="30" t="s">
        <v>2272</v>
      </c>
      <c r="B279" s="30" t="s">
        <v>2273</v>
      </c>
      <c r="C279" s="30" t="s">
        <v>235</v>
      </c>
      <c r="D279" s="30" t="s">
        <v>2012</v>
      </c>
      <c r="E279" s="30" t="s">
        <v>2026</v>
      </c>
      <c r="F279" s="30" t="s">
        <v>2027</v>
      </c>
      <c r="G279" s="30"/>
      <c r="H279" s="30" t="s">
        <v>2421</v>
      </c>
      <c r="I279" s="30" t="s">
        <v>2015</v>
      </c>
      <c r="J279" s="30" t="s">
        <v>2015</v>
      </c>
      <c r="K279" s="30" t="s">
        <v>2018</v>
      </c>
      <c r="L279" s="30" t="s">
        <v>2017</v>
      </c>
      <c r="M279" s="30" t="s">
        <v>2018</v>
      </c>
      <c r="N279" s="30" t="s">
        <v>2018</v>
      </c>
      <c r="O279" s="30" t="s">
        <v>2015</v>
      </c>
      <c r="P279" s="32">
        <v>73</v>
      </c>
      <c r="Q279" s="32">
        <v>580</v>
      </c>
      <c r="R279" s="32">
        <v>9</v>
      </c>
      <c r="S279" s="32">
        <v>3</v>
      </c>
      <c r="T279" s="32">
        <v>0</v>
      </c>
      <c r="U279" s="32">
        <v>8</v>
      </c>
      <c r="V279" s="32">
        <v>2</v>
      </c>
      <c r="W279" s="32">
        <v>2</v>
      </c>
      <c r="X279" s="32">
        <v>17</v>
      </c>
      <c r="Y279" s="32">
        <v>5</v>
      </c>
      <c r="Z279" s="32">
        <v>2</v>
      </c>
      <c r="AA279" s="32">
        <v>24</v>
      </c>
      <c r="AB279" s="32">
        <v>8</v>
      </c>
      <c r="AC279" s="32">
        <v>0</v>
      </c>
      <c r="AD279" s="32">
        <v>8</v>
      </c>
      <c r="AE279" s="32">
        <v>2</v>
      </c>
      <c r="AF279" s="32">
        <v>2</v>
      </c>
      <c r="AG279" s="32">
        <v>32</v>
      </c>
      <c r="AH279" s="32">
        <v>10</v>
      </c>
      <c r="AI279" s="32">
        <v>2</v>
      </c>
      <c r="AJ279" s="32">
        <v>32</v>
      </c>
      <c r="AK279" s="32">
        <v>72</v>
      </c>
      <c r="AL279" s="32">
        <v>44.4</v>
      </c>
    </row>
    <row r="280" spans="1:38" ht="13.5" hidden="1" customHeight="1">
      <c r="A280" s="30" t="s">
        <v>2272</v>
      </c>
      <c r="B280" s="30" t="s">
        <v>2273</v>
      </c>
      <c r="C280" s="30" t="s">
        <v>235</v>
      </c>
      <c r="D280" s="30" t="s">
        <v>2012</v>
      </c>
      <c r="E280" s="30" t="s">
        <v>2026</v>
      </c>
      <c r="F280" s="30" t="s">
        <v>2027</v>
      </c>
      <c r="G280" s="30"/>
      <c r="H280" s="30" t="s">
        <v>2114</v>
      </c>
      <c r="I280" s="30" t="s">
        <v>2015</v>
      </c>
      <c r="J280" s="30" t="s">
        <v>2015</v>
      </c>
      <c r="K280" s="30" t="s">
        <v>2018</v>
      </c>
      <c r="L280" s="30" t="s">
        <v>2017</v>
      </c>
      <c r="M280" s="30" t="s">
        <v>2018</v>
      </c>
      <c r="N280" s="30" t="s">
        <v>2018</v>
      </c>
      <c r="O280" s="30" t="s">
        <v>2015</v>
      </c>
      <c r="P280" s="32">
        <v>6456</v>
      </c>
      <c r="Q280" s="32">
        <v>3442</v>
      </c>
      <c r="R280" s="32">
        <v>569</v>
      </c>
      <c r="S280" s="32">
        <v>270</v>
      </c>
      <c r="T280" s="32">
        <v>118</v>
      </c>
      <c r="U280" s="32">
        <v>676</v>
      </c>
      <c r="V280" s="32">
        <v>450</v>
      </c>
      <c r="W280" s="32">
        <v>219</v>
      </c>
      <c r="X280" s="32">
        <v>1245</v>
      </c>
      <c r="Y280" s="32">
        <v>720</v>
      </c>
      <c r="Z280" s="32">
        <v>337</v>
      </c>
      <c r="AA280" s="32">
        <v>1607</v>
      </c>
      <c r="AB280" s="32">
        <v>758</v>
      </c>
      <c r="AC280" s="32">
        <v>330</v>
      </c>
      <c r="AD280" s="32">
        <v>813</v>
      </c>
      <c r="AE280" s="32">
        <v>542</v>
      </c>
      <c r="AF280" s="32">
        <v>264</v>
      </c>
      <c r="AG280" s="32">
        <v>2420</v>
      </c>
      <c r="AH280" s="32">
        <v>1300</v>
      </c>
      <c r="AI280" s="32">
        <v>594</v>
      </c>
      <c r="AJ280" s="32">
        <v>2420</v>
      </c>
      <c r="AK280" s="32">
        <v>6220</v>
      </c>
      <c r="AL280" s="32">
        <v>38.9</v>
      </c>
    </row>
    <row r="281" spans="1:38" ht="13.5" hidden="1" customHeight="1">
      <c r="A281" s="30" t="s">
        <v>2272</v>
      </c>
      <c r="B281" s="30" t="s">
        <v>2273</v>
      </c>
      <c r="C281" s="30" t="s">
        <v>235</v>
      </c>
      <c r="D281" s="30" t="s">
        <v>2012</v>
      </c>
      <c r="E281" s="30" t="s">
        <v>2026</v>
      </c>
      <c r="F281" s="30" t="s">
        <v>2027</v>
      </c>
      <c r="G281" s="30"/>
      <c r="H281" s="30" t="s">
        <v>2422</v>
      </c>
      <c r="I281" s="30" t="s">
        <v>2015</v>
      </c>
      <c r="J281" s="30" t="s">
        <v>2015</v>
      </c>
      <c r="K281" s="30" t="s">
        <v>2018</v>
      </c>
      <c r="L281" s="30" t="s">
        <v>2017</v>
      </c>
      <c r="M281" s="30" t="s">
        <v>2018</v>
      </c>
      <c r="N281" s="30" t="s">
        <v>2018</v>
      </c>
      <c r="O281" s="30" t="s">
        <v>2015</v>
      </c>
      <c r="P281" s="32">
        <v>1370</v>
      </c>
      <c r="Q281" s="32">
        <v>902</v>
      </c>
      <c r="R281" s="32">
        <v>143</v>
      </c>
      <c r="S281" s="32">
        <v>72</v>
      </c>
      <c r="T281" s="32">
        <v>37</v>
      </c>
      <c r="U281" s="32">
        <v>130</v>
      </c>
      <c r="V281" s="32">
        <v>90</v>
      </c>
      <c r="W281" s="32">
        <v>62</v>
      </c>
      <c r="X281" s="32">
        <v>273</v>
      </c>
      <c r="Y281" s="32">
        <v>162</v>
      </c>
      <c r="Z281" s="32">
        <v>99</v>
      </c>
      <c r="AA281" s="32">
        <v>400</v>
      </c>
      <c r="AB281" s="32">
        <v>202</v>
      </c>
      <c r="AC281" s="32">
        <v>104</v>
      </c>
      <c r="AD281" s="32">
        <v>169</v>
      </c>
      <c r="AE281" s="32">
        <v>117</v>
      </c>
      <c r="AF281" s="32">
        <v>81</v>
      </c>
      <c r="AG281" s="32">
        <v>569</v>
      </c>
      <c r="AH281" s="32">
        <v>319</v>
      </c>
      <c r="AI281" s="32">
        <v>185</v>
      </c>
      <c r="AJ281" s="32">
        <v>569</v>
      </c>
      <c r="AK281" s="32">
        <v>1359</v>
      </c>
      <c r="AL281" s="32">
        <v>41.9</v>
      </c>
    </row>
    <row r="282" spans="1:38" ht="13.5" hidden="1" customHeight="1">
      <c r="A282" s="30" t="s">
        <v>2272</v>
      </c>
      <c r="B282" s="30" t="s">
        <v>2273</v>
      </c>
      <c r="C282" s="30" t="s">
        <v>235</v>
      </c>
      <c r="D282" s="30" t="s">
        <v>2012</v>
      </c>
      <c r="E282" s="30" t="s">
        <v>2026</v>
      </c>
      <c r="F282" s="30" t="s">
        <v>2027</v>
      </c>
      <c r="G282" s="30"/>
      <c r="H282" s="30" t="s">
        <v>2423</v>
      </c>
      <c r="I282" s="30" t="s">
        <v>2015</v>
      </c>
      <c r="J282" s="30" t="s">
        <v>2015</v>
      </c>
      <c r="K282" s="30" t="s">
        <v>2018</v>
      </c>
      <c r="L282" s="30" t="s">
        <v>2017</v>
      </c>
      <c r="M282" s="30" t="s">
        <v>2018</v>
      </c>
      <c r="N282" s="30" t="s">
        <v>2018</v>
      </c>
      <c r="O282" s="30" t="s">
        <v>2015</v>
      </c>
      <c r="P282" s="32">
        <v>38</v>
      </c>
      <c r="Q282" s="32">
        <v>59</v>
      </c>
      <c r="R282" s="32">
        <v>1</v>
      </c>
      <c r="S282" s="32">
        <v>0</v>
      </c>
      <c r="T282" s="32">
        <v>0</v>
      </c>
      <c r="U282" s="32">
        <v>5</v>
      </c>
      <c r="V282" s="32">
        <v>3</v>
      </c>
      <c r="W282" s="32">
        <v>2</v>
      </c>
      <c r="X282" s="32">
        <v>6</v>
      </c>
      <c r="Y282" s="32">
        <v>3</v>
      </c>
      <c r="Z282" s="32">
        <v>2</v>
      </c>
      <c r="AA282" s="32">
        <v>4</v>
      </c>
      <c r="AB282" s="32">
        <v>0</v>
      </c>
      <c r="AC282" s="32">
        <v>0</v>
      </c>
      <c r="AD282" s="32">
        <v>5</v>
      </c>
      <c r="AE282" s="32">
        <v>3</v>
      </c>
      <c r="AF282" s="32">
        <v>2</v>
      </c>
      <c r="AG282" s="32">
        <v>9</v>
      </c>
      <c r="AH282" s="32">
        <v>3</v>
      </c>
      <c r="AI282" s="32">
        <v>2</v>
      </c>
      <c r="AJ282" s="32">
        <v>9</v>
      </c>
      <c r="AK282" s="32">
        <v>28</v>
      </c>
      <c r="AL282" s="32">
        <v>32.1</v>
      </c>
    </row>
    <row r="283" spans="1:38" ht="13.5" hidden="1" customHeight="1">
      <c r="A283" s="30" t="s">
        <v>2272</v>
      </c>
      <c r="B283" s="30" t="s">
        <v>2273</v>
      </c>
      <c r="C283" s="30" t="s">
        <v>235</v>
      </c>
      <c r="D283" s="30" t="s">
        <v>2012</v>
      </c>
      <c r="E283" s="30" t="s">
        <v>2026</v>
      </c>
      <c r="F283" s="30" t="s">
        <v>2027</v>
      </c>
      <c r="G283" s="30"/>
      <c r="H283" s="30" t="s">
        <v>2424</v>
      </c>
      <c r="I283" s="30" t="s">
        <v>2015</v>
      </c>
      <c r="J283" s="30" t="s">
        <v>2015</v>
      </c>
      <c r="K283" s="30" t="s">
        <v>2018</v>
      </c>
      <c r="L283" s="30" t="s">
        <v>2017</v>
      </c>
      <c r="M283" s="30" t="s">
        <v>2018</v>
      </c>
      <c r="N283" s="30" t="s">
        <v>2018</v>
      </c>
      <c r="O283" s="30" t="s">
        <v>2015</v>
      </c>
      <c r="P283" s="32">
        <v>1941</v>
      </c>
      <c r="Q283" s="32">
        <v>1328</v>
      </c>
      <c r="R283" s="32">
        <v>196</v>
      </c>
      <c r="S283" s="32">
        <v>82</v>
      </c>
      <c r="T283" s="32">
        <v>29</v>
      </c>
      <c r="U283" s="32">
        <v>155</v>
      </c>
      <c r="V283" s="32">
        <v>88</v>
      </c>
      <c r="W283" s="32">
        <v>53</v>
      </c>
      <c r="X283" s="32">
        <v>351</v>
      </c>
      <c r="Y283" s="32">
        <v>170</v>
      </c>
      <c r="Z283" s="32">
        <v>82</v>
      </c>
      <c r="AA283" s="32">
        <v>586</v>
      </c>
      <c r="AB283" s="32">
        <v>244</v>
      </c>
      <c r="AC283" s="32">
        <v>87</v>
      </c>
      <c r="AD283" s="32">
        <v>190</v>
      </c>
      <c r="AE283" s="32">
        <v>108</v>
      </c>
      <c r="AF283" s="32">
        <v>65</v>
      </c>
      <c r="AG283" s="32">
        <v>776</v>
      </c>
      <c r="AH283" s="32">
        <v>352</v>
      </c>
      <c r="AI283" s="32">
        <v>152</v>
      </c>
      <c r="AJ283" s="32">
        <v>776</v>
      </c>
      <c r="AK283" s="32">
        <v>1889</v>
      </c>
      <c r="AL283" s="32">
        <v>41.1</v>
      </c>
    </row>
    <row r="284" spans="1:38" ht="13.5" hidden="1" customHeight="1">
      <c r="A284" s="30" t="s">
        <v>2272</v>
      </c>
      <c r="B284" s="30" t="s">
        <v>2273</v>
      </c>
      <c r="C284" s="30" t="s">
        <v>235</v>
      </c>
      <c r="D284" s="30" t="s">
        <v>2012</v>
      </c>
      <c r="E284" s="30" t="s">
        <v>2026</v>
      </c>
      <c r="F284" s="30" t="s">
        <v>2027</v>
      </c>
      <c r="G284" s="30"/>
      <c r="H284" s="30" t="s">
        <v>2425</v>
      </c>
      <c r="I284" s="30" t="s">
        <v>2015</v>
      </c>
      <c r="J284" s="30" t="s">
        <v>2015</v>
      </c>
      <c r="K284" s="30" t="s">
        <v>2018</v>
      </c>
      <c r="L284" s="30" t="s">
        <v>2017</v>
      </c>
      <c r="M284" s="30" t="s">
        <v>2018</v>
      </c>
      <c r="N284" s="30" t="s">
        <v>2018</v>
      </c>
      <c r="O284" s="30" t="s">
        <v>2015</v>
      </c>
      <c r="P284" s="32">
        <v>47</v>
      </c>
      <c r="Q284" s="32">
        <v>67</v>
      </c>
      <c r="R284" s="32">
        <v>6</v>
      </c>
      <c r="S284" s="32">
        <v>2</v>
      </c>
      <c r="T284" s="32">
        <v>0</v>
      </c>
      <c r="U284" s="32">
        <v>2</v>
      </c>
      <c r="V284" s="32">
        <v>2</v>
      </c>
      <c r="W284" s="32">
        <v>2</v>
      </c>
      <c r="X284" s="32">
        <v>8</v>
      </c>
      <c r="Y284" s="32">
        <v>4</v>
      </c>
      <c r="Z284" s="32">
        <v>2</v>
      </c>
      <c r="AA284" s="32">
        <v>15</v>
      </c>
      <c r="AB284" s="32">
        <v>5</v>
      </c>
      <c r="AC284" s="32">
        <v>0</v>
      </c>
      <c r="AD284" s="32">
        <v>2</v>
      </c>
      <c r="AE284" s="32">
        <v>2</v>
      </c>
      <c r="AF284" s="32">
        <v>2</v>
      </c>
      <c r="AG284" s="32">
        <v>17</v>
      </c>
      <c r="AH284" s="32">
        <v>7</v>
      </c>
      <c r="AI284" s="32">
        <v>2</v>
      </c>
      <c r="AJ284" s="32">
        <v>17</v>
      </c>
      <c r="AK284" s="32">
        <v>42</v>
      </c>
      <c r="AL284" s="32">
        <v>40.5</v>
      </c>
    </row>
    <row r="285" spans="1:38" ht="13.5" hidden="1" customHeight="1">
      <c r="A285" s="30" t="s">
        <v>2272</v>
      </c>
      <c r="B285" s="30" t="s">
        <v>2273</v>
      </c>
      <c r="C285" s="30" t="s">
        <v>235</v>
      </c>
      <c r="D285" s="30" t="s">
        <v>2012</v>
      </c>
      <c r="E285" s="30" t="s">
        <v>2026</v>
      </c>
      <c r="F285" s="30" t="s">
        <v>2027</v>
      </c>
      <c r="G285" s="30"/>
      <c r="H285" s="30" t="s">
        <v>2426</v>
      </c>
      <c r="I285" s="30" t="s">
        <v>2015</v>
      </c>
      <c r="J285" s="30" t="s">
        <v>2015</v>
      </c>
      <c r="K285" s="30" t="s">
        <v>2018</v>
      </c>
      <c r="L285" s="30" t="s">
        <v>2017</v>
      </c>
      <c r="M285" s="30" t="s">
        <v>2018</v>
      </c>
      <c r="N285" s="30" t="s">
        <v>2018</v>
      </c>
      <c r="O285" s="30" t="s">
        <v>2015</v>
      </c>
      <c r="P285" s="32">
        <v>2147</v>
      </c>
      <c r="Q285" s="32">
        <v>1200</v>
      </c>
      <c r="R285" s="32">
        <v>238</v>
      </c>
      <c r="S285" s="32">
        <v>96</v>
      </c>
      <c r="T285" s="32">
        <v>36</v>
      </c>
      <c r="U285" s="32">
        <v>195</v>
      </c>
      <c r="V285" s="32">
        <v>125</v>
      </c>
      <c r="W285" s="32">
        <v>60</v>
      </c>
      <c r="X285" s="32">
        <v>433</v>
      </c>
      <c r="Y285" s="32">
        <v>221</v>
      </c>
      <c r="Z285" s="32">
        <v>96</v>
      </c>
      <c r="AA285" s="32">
        <v>681</v>
      </c>
      <c r="AB285" s="32">
        <v>274</v>
      </c>
      <c r="AC285" s="32">
        <v>103</v>
      </c>
      <c r="AD285" s="32">
        <v>245</v>
      </c>
      <c r="AE285" s="32">
        <v>157</v>
      </c>
      <c r="AF285" s="32">
        <v>76</v>
      </c>
      <c r="AG285" s="32">
        <v>926</v>
      </c>
      <c r="AH285" s="32">
        <v>431</v>
      </c>
      <c r="AI285" s="32">
        <v>179</v>
      </c>
      <c r="AJ285" s="32">
        <v>926</v>
      </c>
      <c r="AK285" s="32">
        <v>2139</v>
      </c>
      <c r="AL285" s="32">
        <v>43.3</v>
      </c>
    </row>
    <row r="286" spans="1:38" ht="13.5" hidden="1" customHeight="1">
      <c r="A286" s="30" t="s">
        <v>2272</v>
      </c>
      <c r="B286" s="30" t="s">
        <v>2273</v>
      </c>
      <c r="C286" s="30" t="s">
        <v>235</v>
      </c>
      <c r="D286" s="30" t="s">
        <v>2012</v>
      </c>
      <c r="E286" s="30" t="s">
        <v>2026</v>
      </c>
      <c r="F286" s="30" t="s">
        <v>2027</v>
      </c>
      <c r="G286" s="30"/>
      <c r="H286" s="30" t="s">
        <v>2427</v>
      </c>
      <c r="I286" s="30" t="s">
        <v>2015</v>
      </c>
      <c r="J286" s="30" t="s">
        <v>2015</v>
      </c>
      <c r="K286" s="30" t="s">
        <v>2018</v>
      </c>
      <c r="L286" s="30" t="s">
        <v>2017</v>
      </c>
      <c r="M286" s="30" t="s">
        <v>2018</v>
      </c>
      <c r="N286" s="30" t="s">
        <v>2018</v>
      </c>
      <c r="O286" s="30" t="s">
        <v>2015</v>
      </c>
      <c r="P286" s="32">
        <v>1495</v>
      </c>
      <c r="Q286" s="32">
        <v>803</v>
      </c>
      <c r="R286" s="32">
        <v>123</v>
      </c>
      <c r="S286" s="32">
        <v>45</v>
      </c>
      <c r="T286" s="32">
        <v>25</v>
      </c>
      <c r="U286" s="32">
        <v>90</v>
      </c>
      <c r="V286" s="32">
        <v>62</v>
      </c>
      <c r="W286" s="32">
        <v>17</v>
      </c>
      <c r="X286" s="32">
        <v>213</v>
      </c>
      <c r="Y286" s="32">
        <v>107</v>
      </c>
      <c r="Z286" s="32">
        <v>42</v>
      </c>
      <c r="AA286" s="32">
        <v>357</v>
      </c>
      <c r="AB286" s="32">
        <v>131</v>
      </c>
      <c r="AC286" s="32">
        <v>73</v>
      </c>
      <c r="AD286" s="32">
        <v>117</v>
      </c>
      <c r="AE286" s="32">
        <v>81</v>
      </c>
      <c r="AF286" s="32">
        <v>22</v>
      </c>
      <c r="AG286" s="32">
        <v>474</v>
      </c>
      <c r="AH286" s="32">
        <v>212</v>
      </c>
      <c r="AI286" s="32">
        <v>95</v>
      </c>
      <c r="AJ286" s="32">
        <v>474</v>
      </c>
      <c r="AK286" s="32">
        <v>1495</v>
      </c>
      <c r="AL286" s="32">
        <v>31.7</v>
      </c>
    </row>
    <row r="287" spans="1:38" ht="13.5" hidden="1" customHeight="1">
      <c r="A287" s="30" t="s">
        <v>2272</v>
      </c>
      <c r="B287" s="30" t="s">
        <v>2273</v>
      </c>
      <c r="C287" s="30" t="s">
        <v>235</v>
      </c>
      <c r="D287" s="30" t="s">
        <v>2012</v>
      </c>
      <c r="E287" s="30" t="s">
        <v>2026</v>
      </c>
      <c r="F287" s="30" t="s">
        <v>2027</v>
      </c>
      <c r="G287" s="30"/>
      <c r="H287" s="30" t="s">
        <v>2428</v>
      </c>
      <c r="I287" s="30" t="s">
        <v>2015</v>
      </c>
      <c r="J287" s="30" t="s">
        <v>2015</v>
      </c>
      <c r="K287" s="30" t="s">
        <v>2018</v>
      </c>
      <c r="L287" s="30" t="s">
        <v>2017</v>
      </c>
      <c r="M287" s="30" t="s">
        <v>2018</v>
      </c>
      <c r="N287" s="30" t="s">
        <v>2018</v>
      </c>
      <c r="O287" s="30" t="s">
        <v>2015</v>
      </c>
      <c r="P287" s="32">
        <v>414</v>
      </c>
      <c r="Q287" s="32">
        <v>318</v>
      </c>
      <c r="R287" s="32">
        <v>39</v>
      </c>
      <c r="S287" s="32">
        <v>14</v>
      </c>
      <c r="T287" s="32">
        <v>8</v>
      </c>
      <c r="U287" s="32">
        <v>33</v>
      </c>
      <c r="V287" s="32">
        <v>14</v>
      </c>
      <c r="W287" s="32">
        <v>10</v>
      </c>
      <c r="X287" s="32">
        <v>72</v>
      </c>
      <c r="Y287" s="32">
        <v>28</v>
      </c>
      <c r="Z287" s="32">
        <v>18</v>
      </c>
      <c r="AA287" s="32">
        <v>129</v>
      </c>
      <c r="AB287" s="32">
        <v>46</v>
      </c>
      <c r="AC287" s="32">
        <v>26</v>
      </c>
      <c r="AD287" s="32">
        <v>43</v>
      </c>
      <c r="AE287" s="32">
        <v>18</v>
      </c>
      <c r="AF287" s="32">
        <v>13</v>
      </c>
      <c r="AG287" s="32">
        <v>172</v>
      </c>
      <c r="AH287" s="32">
        <v>64</v>
      </c>
      <c r="AI287" s="32">
        <v>39</v>
      </c>
      <c r="AJ287" s="32">
        <v>172</v>
      </c>
      <c r="AK287" s="32">
        <v>378</v>
      </c>
      <c r="AL287" s="32">
        <v>45.5</v>
      </c>
    </row>
    <row r="288" spans="1:38" ht="13.5" hidden="1" customHeight="1">
      <c r="A288" s="30" t="s">
        <v>2272</v>
      </c>
      <c r="B288" s="30" t="s">
        <v>2273</v>
      </c>
      <c r="C288" s="30" t="s">
        <v>235</v>
      </c>
      <c r="D288" s="30" t="s">
        <v>2012</v>
      </c>
      <c r="E288" s="30" t="s">
        <v>2026</v>
      </c>
      <c r="F288" s="30" t="s">
        <v>2027</v>
      </c>
      <c r="G288" s="30"/>
      <c r="H288" s="30" t="s">
        <v>2429</v>
      </c>
      <c r="I288" s="30" t="s">
        <v>2015</v>
      </c>
      <c r="J288" s="30" t="s">
        <v>2015</v>
      </c>
      <c r="K288" s="30" t="s">
        <v>2018</v>
      </c>
      <c r="L288" s="30" t="s">
        <v>2017</v>
      </c>
      <c r="M288" s="30" t="s">
        <v>2018</v>
      </c>
      <c r="N288" s="30" t="s">
        <v>2018</v>
      </c>
      <c r="O288" s="30" t="s">
        <v>2015</v>
      </c>
      <c r="P288" s="32">
        <v>2109</v>
      </c>
      <c r="Q288" s="32">
        <v>1900</v>
      </c>
      <c r="R288" s="32">
        <v>108</v>
      </c>
      <c r="S288" s="32">
        <v>37</v>
      </c>
      <c r="T288" s="32">
        <v>20</v>
      </c>
      <c r="U288" s="32">
        <v>196</v>
      </c>
      <c r="V288" s="32">
        <v>111</v>
      </c>
      <c r="W288" s="32">
        <v>50</v>
      </c>
      <c r="X288" s="32">
        <v>304</v>
      </c>
      <c r="Y288" s="32">
        <v>148</v>
      </c>
      <c r="Z288" s="32">
        <v>70</v>
      </c>
      <c r="AA288" s="32">
        <v>306</v>
      </c>
      <c r="AB288" s="32">
        <v>106</v>
      </c>
      <c r="AC288" s="32">
        <v>58</v>
      </c>
      <c r="AD288" s="32">
        <v>236</v>
      </c>
      <c r="AE288" s="32">
        <v>133</v>
      </c>
      <c r="AF288" s="32">
        <v>59</v>
      </c>
      <c r="AG288" s="32">
        <v>542</v>
      </c>
      <c r="AH288" s="32">
        <v>239</v>
      </c>
      <c r="AI288" s="32">
        <v>117</v>
      </c>
      <c r="AJ288" s="32">
        <v>542</v>
      </c>
      <c r="AK288" s="32">
        <v>2109</v>
      </c>
      <c r="AL288" s="32">
        <v>25.7</v>
      </c>
    </row>
    <row r="289" spans="1:38" ht="13.5" hidden="1" customHeight="1">
      <c r="A289" s="30" t="s">
        <v>2272</v>
      </c>
      <c r="B289" s="30" t="s">
        <v>2273</v>
      </c>
      <c r="C289" s="30" t="s">
        <v>235</v>
      </c>
      <c r="D289" s="30" t="s">
        <v>2012</v>
      </c>
      <c r="E289" s="30" t="s">
        <v>2026</v>
      </c>
      <c r="F289" s="30" t="s">
        <v>2027</v>
      </c>
      <c r="G289" s="30"/>
      <c r="H289" s="30" t="s">
        <v>2430</v>
      </c>
      <c r="I289" s="30" t="s">
        <v>2015</v>
      </c>
      <c r="J289" s="30" t="s">
        <v>2015</v>
      </c>
      <c r="K289" s="30" t="s">
        <v>2018</v>
      </c>
      <c r="L289" s="30" t="s">
        <v>2017</v>
      </c>
      <c r="M289" s="30" t="s">
        <v>2018</v>
      </c>
      <c r="N289" s="30" t="s">
        <v>2018</v>
      </c>
      <c r="O289" s="30" t="s">
        <v>2015</v>
      </c>
      <c r="P289" s="32">
        <v>4</v>
      </c>
      <c r="Q289" s="32">
        <v>20</v>
      </c>
      <c r="R289" s="32">
        <v>0</v>
      </c>
      <c r="S289" s="32">
        <v>0</v>
      </c>
      <c r="T289" s="32">
        <v>0</v>
      </c>
      <c r="U289" s="32">
        <v>0</v>
      </c>
      <c r="V289" s="32">
        <v>0</v>
      </c>
      <c r="W289" s="32">
        <v>0</v>
      </c>
      <c r="X289" s="32">
        <v>0</v>
      </c>
      <c r="Y289" s="32">
        <v>0</v>
      </c>
      <c r="Z289" s="32">
        <v>0</v>
      </c>
      <c r="AA289" s="32">
        <v>0</v>
      </c>
      <c r="AB289" s="32">
        <v>0</v>
      </c>
      <c r="AC289" s="32">
        <v>0</v>
      </c>
      <c r="AD289" s="32">
        <v>0</v>
      </c>
      <c r="AE289" s="32">
        <v>0</v>
      </c>
      <c r="AF289" s="32">
        <v>0</v>
      </c>
      <c r="AG289" s="32">
        <v>0</v>
      </c>
      <c r="AH289" s="32">
        <v>0</v>
      </c>
      <c r="AI289" s="32">
        <v>0</v>
      </c>
      <c r="AJ289" s="32">
        <v>0</v>
      </c>
      <c r="AK289" s="32">
        <v>0</v>
      </c>
      <c r="AL289" s="32">
        <v>0</v>
      </c>
    </row>
    <row r="290" spans="1:38" ht="13.5" hidden="1" customHeight="1">
      <c r="A290" s="30" t="s">
        <v>2272</v>
      </c>
      <c r="B290" s="30" t="s">
        <v>2273</v>
      </c>
      <c r="C290" s="30" t="s">
        <v>235</v>
      </c>
      <c r="D290" s="30" t="s">
        <v>2012</v>
      </c>
      <c r="E290" s="30" t="s">
        <v>2026</v>
      </c>
      <c r="F290" s="30" t="s">
        <v>2027</v>
      </c>
      <c r="G290" s="30"/>
      <c r="H290" s="30" t="s">
        <v>2431</v>
      </c>
      <c r="I290" s="30" t="s">
        <v>2015</v>
      </c>
      <c r="J290" s="30" t="s">
        <v>2015</v>
      </c>
      <c r="K290" s="30" t="s">
        <v>2018</v>
      </c>
      <c r="L290" s="30" t="s">
        <v>2017</v>
      </c>
      <c r="M290" s="30" t="s">
        <v>2018</v>
      </c>
      <c r="N290" s="30" t="s">
        <v>2018</v>
      </c>
      <c r="O290" s="30" t="s">
        <v>2015</v>
      </c>
      <c r="P290" s="32">
        <v>2134</v>
      </c>
      <c r="Q290" s="32">
        <v>1253</v>
      </c>
      <c r="R290" s="32">
        <v>181</v>
      </c>
      <c r="S290" s="32">
        <v>81</v>
      </c>
      <c r="T290" s="32">
        <v>36</v>
      </c>
      <c r="U290" s="32">
        <v>155</v>
      </c>
      <c r="V290" s="32">
        <v>99</v>
      </c>
      <c r="W290" s="32">
        <v>44</v>
      </c>
      <c r="X290" s="32">
        <v>336</v>
      </c>
      <c r="Y290" s="32">
        <v>180</v>
      </c>
      <c r="Z290" s="32">
        <v>80</v>
      </c>
      <c r="AA290" s="32">
        <v>536</v>
      </c>
      <c r="AB290" s="32">
        <v>240</v>
      </c>
      <c r="AC290" s="32">
        <v>107</v>
      </c>
      <c r="AD290" s="32">
        <v>202</v>
      </c>
      <c r="AE290" s="32">
        <v>129</v>
      </c>
      <c r="AF290" s="32">
        <v>57</v>
      </c>
      <c r="AG290" s="32">
        <v>738</v>
      </c>
      <c r="AH290" s="32">
        <v>369</v>
      </c>
      <c r="AI290" s="32">
        <v>164</v>
      </c>
      <c r="AJ290" s="32">
        <v>738</v>
      </c>
      <c r="AK290" s="32">
        <v>2124</v>
      </c>
      <c r="AL290" s="32">
        <v>34.700000000000003</v>
      </c>
    </row>
    <row r="291" spans="1:38" ht="13.5" hidden="1" customHeight="1">
      <c r="A291" s="30" t="s">
        <v>2272</v>
      </c>
      <c r="B291" s="30" t="s">
        <v>2273</v>
      </c>
      <c r="C291" s="30" t="s">
        <v>235</v>
      </c>
      <c r="D291" s="30" t="s">
        <v>2012</v>
      </c>
      <c r="E291" s="30" t="s">
        <v>2026</v>
      </c>
      <c r="F291" s="30" t="s">
        <v>2027</v>
      </c>
      <c r="G291" s="30"/>
      <c r="H291" s="30" t="s">
        <v>2432</v>
      </c>
      <c r="I291" s="30" t="s">
        <v>2015</v>
      </c>
      <c r="J291" s="30" t="s">
        <v>2015</v>
      </c>
      <c r="K291" s="30" t="s">
        <v>2018</v>
      </c>
      <c r="L291" s="30" t="s">
        <v>2017</v>
      </c>
      <c r="M291" s="30" t="s">
        <v>2018</v>
      </c>
      <c r="N291" s="30" t="s">
        <v>2018</v>
      </c>
      <c r="O291" s="30" t="s">
        <v>2015</v>
      </c>
      <c r="P291" s="32">
        <v>69</v>
      </c>
      <c r="Q291" s="32">
        <v>108</v>
      </c>
      <c r="R291" s="32">
        <v>12</v>
      </c>
      <c r="S291" s="32">
        <v>5</v>
      </c>
      <c r="T291" s="32">
        <v>0</v>
      </c>
      <c r="U291" s="32">
        <v>5</v>
      </c>
      <c r="V291" s="32">
        <v>3</v>
      </c>
      <c r="W291" s="32">
        <v>3</v>
      </c>
      <c r="X291" s="32">
        <v>17</v>
      </c>
      <c r="Y291" s="32">
        <v>8</v>
      </c>
      <c r="Z291" s="32">
        <v>3</v>
      </c>
      <c r="AA291" s="32">
        <v>42</v>
      </c>
      <c r="AB291" s="32">
        <v>18</v>
      </c>
      <c r="AC291" s="32">
        <v>0</v>
      </c>
      <c r="AD291" s="32">
        <v>5</v>
      </c>
      <c r="AE291" s="32">
        <v>3</v>
      </c>
      <c r="AF291" s="32">
        <v>3</v>
      </c>
      <c r="AG291" s="32">
        <v>47</v>
      </c>
      <c r="AH291" s="32">
        <v>21</v>
      </c>
      <c r="AI291" s="32">
        <v>3</v>
      </c>
      <c r="AJ291" s="32">
        <v>47</v>
      </c>
      <c r="AK291" s="32">
        <v>82</v>
      </c>
      <c r="AL291" s="32">
        <v>57.3</v>
      </c>
    </row>
    <row r="292" spans="1:38" ht="13.5" hidden="1" customHeight="1">
      <c r="A292" s="30" t="s">
        <v>2272</v>
      </c>
      <c r="B292" s="30" t="s">
        <v>2273</v>
      </c>
      <c r="C292" s="30" t="s">
        <v>235</v>
      </c>
      <c r="D292" s="30" t="s">
        <v>2012</v>
      </c>
      <c r="E292" s="30" t="s">
        <v>2026</v>
      </c>
      <c r="F292" s="30" t="s">
        <v>2027</v>
      </c>
      <c r="G292" s="30"/>
      <c r="H292" s="30" t="s">
        <v>2433</v>
      </c>
      <c r="I292" s="30" t="s">
        <v>2015</v>
      </c>
      <c r="J292" s="30" t="s">
        <v>2015</v>
      </c>
      <c r="K292" s="30" t="s">
        <v>2018</v>
      </c>
      <c r="L292" s="30" t="s">
        <v>2017</v>
      </c>
      <c r="M292" s="30" t="s">
        <v>2018</v>
      </c>
      <c r="N292" s="30" t="s">
        <v>2018</v>
      </c>
      <c r="O292" s="30" t="s">
        <v>2015</v>
      </c>
      <c r="P292" s="32">
        <v>543</v>
      </c>
      <c r="Q292" s="32">
        <v>678</v>
      </c>
      <c r="R292" s="32">
        <v>48</v>
      </c>
      <c r="S292" s="32">
        <v>26</v>
      </c>
      <c r="T292" s="32">
        <v>13</v>
      </c>
      <c r="U292" s="32">
        <v>49</v>
      </c>
      <c r="V292" s="32">
        <v>32</v>
      </c>
      <c r="W292" s="32">
        <v>20</v>
      </c>
      <c r="X292" s="32">
        <v>97</v>
      </c>
      <c r="Y292" s="32">
        <v>58</v>
      </c>
      <c r="Z292" s="32">
        <v>33</v>
      </c>
      <c r="AA292" s="32">
        <v>139</v>
      </c>
      <c r="AB292" s="32">
        <v>75</v>
      </c>
      <c r="AC292" s="32">
        <v>38</v>
      </c>
      <c r="AD292" s="32">
        <v>54</v>
      </c>
      <c r="AE292" s="32">
        <v>35</v>
      </c>
      <c r="AF292" s="32">
        <v>22</v>
      </c>
      <c r="AG292" s="32">
        <v>193</v>
      </c>
      <c r="AH292" s="32">
        <v>110</v>
      </c>
      <c r="AI292" s="32">
        <v>60</v>
      </c>
      <c r="AJ292" s="32">
        <v>193</v>
      </c>
      <c r="AK292" s="32">
        <v>548</v>
      </c>
      <c r="AL292" s="32">
        <v>35.200000000000003</v>
      </c>
    </row>
    <row r="293" spans="1:38" ht="13.5" hidden="1" customHeight="1">
      <c r="A293" s="30" t="s">
        <v>2272</v>
      </c>
      <c r="B293" s="30" t="s">
        <v>2273</v>
      </c>
      <c r="C293" s="30" t="s">
        <v>235</v>
      </c>
      <c r="D293" s="30" t="s">
        <v>2012</v>
      </c>
      <c r="E293" s="30" t="s">
        <v>2026</v>
      </c>
      <c r="F293" s="30" t="s">
        <v>2027</v>
      </c>
      <c r="G293" s="30"/>
      <c r="H293" s="30" t="s">
        <v>2434</v>
      </c>
      <c r="I293" s="30" t="s">
        <v>2015</v>
      </c>
      <c r="J293" s="30" t="s">
        <v>2015</v>
      </c>
      <c r="K293" s="30" t="s">
        <v>2018</v>
      </c>
      <c r="L293" s="30" t="s">
        <v>2017</v>
      </c>
      <c r="M293" s="30" t="s">
        <v>2018</v>
      </c>
      <c r="N293" s="30" t="s">
        <v>2018</v>
      </c>
      <c r="O293" s="30" t="s">
        <v>2015</v>
      </c>
      <c r="P293" s="32">
        <v>1344</v>
      </c>
      <c r="Q293" s="32">
        <v>723</v>
      </c>
      <c r="R293" s="32">
        <v>113</v>
      </c>
      <c r="S293" s="32">
        <v>32</v>
      </c>
      <c r="T293" s="32">
        <v>16</v>
      </c>
      <c r="U293" s="32">
        <v>89</v>
      </c>
      <c r="V293" s="32">
        <v>56</v>
      </c>
      <c r="W293" s="32">
        <v>37</v>
      </c>
      <c r="X293" s="32">
        <v>202</v>
      </c>
      <c r="Y293" s="32">
        <v>88</v>
      </c>
      <c r="Z293" s="32">
        <v>53</v>
      </c>
      <c r="AA293" s="32">
        <v>328</v>
      </c>
      <c r="AB293" s="32">
        <v>93</v>
      </c>
      <c r="AC293" s="32">
        <v>46</v>
      </c>
      <c r="AD293" s="32">
        <v>107</v>
      </c>
      <c r="AE293" s="32">
        <v>67</v>
      </c>
      <c r="AF293" s="32">
        <v>44</v>
      </c>
      <c r="AG293" s="32">
        <v>435</v>
      </c>
      <c r="AH293" s="32">
        <v>160</v>
      </c>
      <c r="AI293" s="32">
        <v>90</v>
      </c>
      <c r="AJ293" s="32">
        <v>435</v>
      </c>
      <c r="AK293" s="32">
        <v>1257</v>
      </c>
      <c r="AL293" s="32">
        <v>34.6</v>
      </c>
    </row>
    <row r="294" spans="1:38" ht="13.5" hidden="1" customHeight="1">
      <c r="A294" s="30" t="s">
        <v>2272</v>
      </c>
      <c r="B294" s="30" t="s">
        <v>2273</v>
      </c>
      <c r="C294" s="30" t="s">
        <v>235</v>
      </c>
      <c r="D294" s="30" t="s">
        <v>2012</v>
      </c>
      <c r="E294" s="30" t="s">
        <v>2026</v>
      </c>
      <c r="F294" s="30" t="s">
        <v>2027</v>
      </c>
      <c r="G294" s="30"/>
      <c r="H294" s="30" t="s">
        <v>2435</v>
      </c>
      <c r="I294" s="30" t="s">
        <v>2015</v>
      </c>
      <c r="J294" s="30" t="s">
        <v>2015</v>
      </c>
      <c r="K294" s="30" t="s">
        <v>2018</v>
      </c>
      <c r="L294" s="30" t="s">
        <v>2017</v>
      </c>
      <c r="M294" s="30" t="s">
        <v>2018</v>
      </c>
      <c r="N294" s="30" t="s">
        <v>2018</v>
      </c>
      <c r="O294" s="30" t="s">
        <v>2015</v>
      </c>
      <c r="P294" s="32">
        <v>1102</v>
      </c>
      <c r="Q294" s="32">
        <v>671</v>
      </c>
      <c r="R294" s="32">
        <v>99</v>
      </c>
      <c r="S294" s="32">
        <v>41</v>
      </c>
      <c r="T294" s="32">
        <v>18</v>
      </c>
      <c r="U294" s="32">
        <v>94</v>
      </c>
      <c r="V294" s="32">
        <v>64</v>
      </c>
      <c r="W294" s="32">
        <v>35</v>
      </c>
      <c r="X294" s="32">
        <v>193</v>
      </c>
      <c r="Y294" s="32">
        <v>105</v>
      </c>
      <c r="Z294" s="32">
        <v>53</v>
      </c>
      <c r="AA294" s="32">
        <v>297</v>
      </c>
      <c r="AB294" s="32">
        <v>123</v>
      </c>
      <c r="AC294" s="32">
        <v>54</v>
      </c>
      <c r="AD294" s="32">
        <v>113</v>
      </c>
      <c r="AE294" s="32">
        <v>77</v>
      </c>
      <c r="AF294" s="32">
        <v>42</v>
      </c>
      <c r="AG294" s="32">
        <v>410</v>
      </c>
      <c r="AH294" s="32">
        <v>200</v>
      </c>
      <c r="AI294" s="32">
        <v>96</v>
      </c>
      <c r="AJ294" s="32">
        <v>410</v>
      </c>
      <c r="AK294" s="32">
        <v>1090</v>
      </c>
      <c r="AL294" s="32">
        <v>37.6</v>
      </c>
    </row>
    <row r="295" spans="1:38" ht="13.5" hidden="1" customHeight="1">
      <c r="A295" s="30" t="s">
        <v>2272</v>
      </c>
      <c r="B295" s="30" t="s">
        <v>2273</v>
      </c>
      <c r="C295" s="30" t="s">
        <v>235</v>
      </c>
      <c r="D295" s="30" t="s">
        <v>2012</v>
      </c>
      <c r="E295" s="30" t="s">
        <v>2026</v>
      </c>
      <c r="F295" s="30" t="s">
        <v>2027</v>
      </c>
      <c r="G295" s="30"/>
      <c r="H295" s="30" t="s">
        <v>2436</v>
      </c>
      <c r="I295" s="30" t="s">
        <v>2015</v>
      </c>
      <c r="J295" s="30" t="s">
        <v>2015</v>
      </c>
      <c r="K295" s="30" t="s">
        <v>2018</v>
      </c>
      <c r="L295" s="30" t="s">
        <v>2017</v>
      </c>
      <c r="M295" s="30" t="s">
        <v>2018</v>
      </c>
      <c r="N295" s="30" t="s">
        <v>2018</v>
      </c>
      <c r="O295" s="30" t="s">
        <v>2015</v>
      </c>
      <c r="P295" s="32">
        <v>290</v>
      </c>
      <c r="Q295" s="32">
        <v>282</v>
      </c>
      <c r="R295" s="32">
        <v>15</v>
      </c>
      <c r="S295" s="32">
        <v>9</v>
      </c>
      <c r="T295" s="32">
        <v>3</v>
      </c>
      <c r="U295" s="32">
        <v>12</v>
      </c>
      <c r="V295" s="32">
        <v>7</v>
      </c>
      <c r="W295" s="32">
        <v>4</v>
      </c>
      <c r="X295" s="32">
        <v>27</v>
      </c>
      <c r="Y295" s="32">
        <v>16</v>
      </c>
      <c r="Z295" s="32">
        <v>7</v>
      </c>
      <c r="AA295" s="32">
        <v>42</v>
      </c>
      <c r="AB295" s="32">
        <v>25</v>
      </c>
      <c r="AC295" s="32">
        <v>8</v>
      </c>
      <c r="AD295" s="32">
        <v>13</v>
      </c>
      <c r="AE295" s="32">
        <v>8</v>
      </c>
      <c r="AF295" s="32">
        <v>4</v>
      </c>
      <c r="AG295" s="32">
        <v>55</v>
      </c>
      <c r="AH295" s="32">
        <v>33</v>
      </c>
      <c r="AI295" s="32">
        <v>12</v>
      </c>
      <c r="AJ295" s="32">
        <v>55</v>
      </c>
      <c r="AK295" s="32">
        <v>284</v>
      </c>
      <c r="AL295" s="32">
        <v>19.399999999999999</v>
      </c>
    </row>
    <row r="296" spans="1:38" ht="13.5" hidden="1" customHeight="1">
      <c r="A296" s="30" t="s">
        <v>2272</v>
      </c>
      <c r="B296" s="30" t="s">
        <v>2273</v>
      </c>
      <c r="C296" s="30" t="s">
        <v>235</v>
      </c>
      <c r="D296" s="30" t="s">
        <v>2012</v>
      </c>
      <c r="E296" s="30" t="s">
        <v>2026</v>
      </c>
      <c r="F296" s="30" t="s">
        <v>2027</v>
      </c>
      <c r="G296" s="30"/>
      <c r="H296" s="30" t="s">
        <v>2437</v>
      </c>
      <c r="I296" s="30" t="s">
        <v>2015</v>
      </c>
      <c r="J296" s="30" t="s">
        <v>2015</v>
      </c>
      <c r="K296" s="30" t="s">
        <v>2018</v>
      </c>
      <c r="L296" s="30" t="s">
        <v>2017</v>
      </c>
      <c r="M296" s="30" t="s">
        <v>2018</v>
      </c>
      <c r="N296" s="30" t="s">
        <v>2018</v>
      </c>
      <c r="O296" s="30" t="s">
        <v>2015</v>
      </c>
      <c r="P296" s="32">
        <v>1966</v>
      </c>
      <c r="Q296" s="32">
        <v>1288</v>
      </c>
      <c r="R296" s="32">
        <v>165</v>
      </c>
      <c r="S296" s="32">
        <v>92</v>
      </c>
      <c r="T296" s="32">
        <v>46</v>
      </c>
      <c r="U296" s="32">
        <v>212</v>
      </c>
      <c r="V296" s="32">
        <v>143</v>
      </c>
      <c r="W296" s="32">
        <v>96</v>
      </c>
      <c r="X296" s="32">
        <v>377</v>
      </c>
      <c r="Y296" s="32">
        <v>235</v>
      </c>
      <c r="Z296" s="32">
        <v>142</v>
      </c>
      <c r="AA296" s="32">
        <v>455</v>
      </c>
      <c r="AB296" s="32">
        <v>254</v>
      </c>
      <c r="AC296" s="32">
        <v>128</v>
      </c>
      <c r="AD296" s="32">
        <v>246</v>
      </c>
      <c r="AE296" s="32">
        <v>165</v>
      </c>
      <c r="AF296" s="32">
        <v>108</v>
      </c>
      <c r="AG296" s="32">
        <v>701</v>
      </c>
      <c r="AH296" s="32">
        <v>419</v>
      </c>
      <c r="AI296" s="32">
        <v>236</v>
      </c>
      <c r="AJ296" s="32">
        <v>701</v>
      </c>
      <c r="AK296" s="32">
        <v>1933</v>
      </c>
      <c r="AL296" s="32">
        <v>36.299999999999997</v>
      </c>
    </row>
    <row r="297" spans="1:38" ht="13.5" hidden="1" customHeight="1">
      <c r="A297" s="30" t="s">
        <v>2272</v>
      </c>
      <c r="B297" s="30" t="s">
        <v>2273</v>
      </c>
      <c r="C297" s="30" t="s">
        <v>235</v>
      </c>
      <c r="D297" s="30" t="s">
        <v>2012</v>
      </c>
      <c r="E297" s="30" t="s">
        <v>2026</v>
      </c>
      <c r="F297" s="30" t="s">
        <v>2027</v>
      </c>
      <c r="G297" s="30"/>
      <c r="H297" s="30" t="s">
        <v>2438</v>
      </c>
      <c r="I297" s="30" t="s">
        <v>2015</v>
      </c>
      <c r="J297" s="30" t="s">
        <v>2015</v>
      </c>
      <c r="K297" s="30" t="s">
        <v>2018</v>
      </c>
      <c r="L297" s="30" t="s">
        <v>2017</v>
      </c>
      <c r="M297" s="30" t="s">
        <v>2018</v>
      </c>
      <c r="N297" s="30" t="s">
        <v>2018</v>
      </c>
      <c r="O297" s="30" t="s">
        <v>2015</v>
      </c>
      <c r="P297" s="32">
        <v>1152</v>
      </c>
      <c r="Q297" s="32">
        <v>909</v>
      </c>
      <c r="R297" s="32">
        <v>143</v>
      </c>
      <c r="S297" s="32">
        <v>66</v>
      </c>
      <c r="T297" s="32">
        <v>34</v>
      </c>
      <c r="U297" s="32">
        <v>129</v>
      </c>
      <c r="V297" s="32">
        <v>106</v>
      </c>
      <c r="W297" s="32">
        <v>65</v>
      </c>
      <c r="X297" s="32">
        <v>272</v>
      </c>
      <c r="Y297" s="32">
        <v>172</v>
      </c>
      <c r="Z297" s="32">
        <v>99</v>
      </c>
      <c r="AA297" s="32">
        <v>386</v>
      </c>
      <c r="AB297" s="32">
        <v>178</v>
      </c>
      <c r="AC297" s="32">
        <v>92</v>
      </c>
      <c r="AD297" s="32">
        <v>155</v>
      </c>
      <c r="AE297" s="32">
        <v>127</v>
      </c>
      <c r="AF297" s="32">
        <v>78</v>
      </c>
      <c r="AG297" s="32">
        <v>541</v>
      </c>
      <c r="AH297" s="32">
        <v>305</v>
      </c>
      <c r="AI297" s="32">
        <v>170</v>
      </c>
      <c r="AJ297" s="32">
        <v>541</v>
      </c>
      <c r="AK297" s="32">
        <v>1117</v>
      </c>
      <c r="AL297" s="32">
        <v>48.4</v>
      </c>
    </row>
    <row r="298" spans="1:38" ht="13.5" hidden="1" customHeight="1">
      <c r="A298" s="30" t="s">
        <v>2272</v>
      </c>
      <c r="B298" s="30" t="s">
        <v>2273</v>
      </c>
      <c r="C298" s="30" t="s">
        <v>235</v>
      </c>
      <c r="D298" s="30" t="s">
        <v>2012</v>
      </c>
      <c r="E298" s="30" t="s">
        <v>2026</v>
      </c>
      <c r="F298" s="30" t="s">
        <v>2027</v>
      </c>
      <c r="G298" s="30"/>
      <c r="H298" s="30" t="s">
        <v>2439</v>
      </c>
      <c r="I298" s="30" t="s">
        <v>2015</v>
      </c>
      <c r="J298" s="30" t="s">
        <v>2015</v>
      </c>
      <c r="K298" s="30" t="s">
        <v>2018</v>
      </c>
      <c r="L298" s="30" t="s">
        <v>2017</v>
      </c>
      <c r="M298" s="30" t="s">
        <v>2018</v>
      </c>
      <c r="N298" s="30" t="s">
        <v>2018</v>
      </c>
      <c r="O298" s="30" t="s">
        <v>2015</v>
      </c>
      <c r="P298" s="32">
        <v>1185</v>
      </c>
      <c r="Q298" s="32">
        <v>709</v>
      </c>
      <c r="R298" s="32">
        <v>144</v>
      </c>
      <c r="S298" s="32">
        <v>76</v>
      </c>
      <c r="T298" s="32">
        <v>20</v>
      </c>
      <c r="U298" s="32">
        <v>94</v>
      </c>
      <c r="V298" s="32">
        <v>73</v>
      </c>
      <c r="W298" s="32">
        <v>51</v>
      </c>
      <c r="X298" s="32">
        <v>238</v>
      </c>
      <c r="Y298" s="32">
        <v>149</v>
      </c>
      <c r="Z298" s="32">
        <v>71</v>
      </c>
      <c r="AA298" s="32">
        <v>432</v>
      </c>
      <c r="AB298" s="32">
        <v>228</v>
      </c>
      <c r="AC298" s="32">
        <v>60</v>
      </c>
      <c r="AD298" s="32">
        <v>122</v>
      </c>
      <c r="AE298" s="32">
        <v>95</v>
      </c>
      <c r="AF298" s="32">
        <v>66</v>
      </c>
      <c r="AG298" s="32">
        <v>554</v>
      </c>
      <c r="AH298" s="32">
        <v>323</v>
      </c>
      <c r="AI298" s="32">
        <v>126</v>
      </c>
      <c r="AJ298" s="32">
        <v>554</v>
      </c>
      <c r="AK298" s="32">
        <v>1191</v>
      </c>
      <c r="AL298" s="32">
        <v>46.5</v>
      </c>
    </row>
    <row r="299" spans="1:38" ht="13.5" hidden="1" customHeight="1">
      <c r="A299" s="30" t="s">
        <v>2272</v>
      </c>
      <c r="B299" s="30" t="s">
        <v>2273</v>
      </c>
      <c r="C299" s="30" t="s">
        <v>235</v>
      </c>
      <c r="D299" s="30" t="s">
        <v>2012</v>
      </c>
      <c r="E299" s="30" t="s">
        <v>2026</v>
      </c>
      <c r="F299" s="30" t="s">
        <v>2027</v>
      </c>
      <c r="G299" s="30"/>
      <c r="H299" s="30" t="s">
        <v>2440</v>
      </c>
      <c r="I299" s="30" t="s">
        <v>2015</v>
      </c>
      <c r="J299" s="30" t="s">
        <v>2015</v>
      </c>
      <c r="K299" s="30" t="s">
        <v>2018</v>
      </c>
      <c r="L299" s="30" t="s">
        <v>2017</v>
      </c>
      <c r="M299" s="30" t="s">
        <v>2018</v>
      </c>
      <c r="N299" s="30" t="s">
        <v>2018</v>
      </c>
      <c r="O299" s="30" t="s">
        <v>2015</v>
      </c>
      <c r="P299" s="32">
        <v>1361</v>
      </c>
      <c r="Q299" s="32">
        <v>913</v>
      </c>
      <c r="R299" s="32">
        <v>129</v>
      </c>
      <c r="S299" s="32">
        <v>77</v>
      </c>
      <c r="T299" s="32">
        <v>35</v>
      </c>
      <c r="U299" s="32">
        <v>89</v>
      </c>
      <c r="V299" s="32">
        <v>54</v>
      </c>
      <c r="W299" s="32">
        <v>31</v>
      </c>
      <c r="X299" s="32">
        <v>218</v>
      </c>
      <c r="Y299" s="32">
        <v>131</v>
      </c>
      <c r="Z299" s="32">
        <v>66</v>
      </c>
      <c r="AA299" s="32">
        <v>379</v>
      </c>
      <c r="AB299" s="32">
        <v>226</v>
      </c>
      <c r="AC299" s="32">
        <v>103</v>
      </c>
      <c r="AD299" s="32">
        <v>124</v>
      </c>
      <c r="AE299" s="32">
        <v>75</v>
      </c>
      <c r="AF299" s="32">
        <v>42</v>
      </c>
      <c r="AG299" s="32">
        <v>503</v>
      </c>
      <c r="AH299" s="32">
        <v>301</v>
      </c>
      <c r="AI299" s="32">
        <v>145</v>
      </c>
      <c r="AJ299" s="32">
        <v>503</v>
      </c>
      <c r="AK299" s="32">
        <v>1361</v>
      </c>
      <c r="AL299" s="32">
        <v>37</v>
      </c>
    </row>
    <row r="300" spans="1:38" ht="13.5" hidden="1" customHeight="1">
      <c r="A300" s="30" t="s">
        <v>2272</v>
      </c>
      <c r="B300" s="30" t="s">
        <v>2273</v>
      </c>
      <c r="C300" s="30" t="s">
        <v>235</v>
      </c>
      <c r="D300" s="30" t="s">
        <v>2012</v>
      </c>
      <c r="E300" s="30" t="s">
        <v>2026</v>
      </c>
      <c r="F300" s="30" t="s">
        <v>2027</v>
      </c>
      <c r="G300" s="30"/>
      <c r="H300" s="30" t="s">
        <v>2441</v>
      </c>
      <c r="I300" s="30" t="s">
        <v>2015</v>
      </c>
      <c r="J300" s="30" t="s">
        <v>2015</v>
      </c>
      <c r="K300" s="30" t="s">
        <v>2018</v>
      </c>
      <c r="L300" s="30" t="s">
        <v>2017</v>
      </c>
      <c r="M300" s="30" t="s">
        <v>2018</v>
      </c>
      <c r="N300" s="30" t="s">
        <v>2018</v>
      </c>
      <c r="O300" s="30" t="s">
        <v>2015</v>
      </c>
      <c r="P300" s="32">
        <v>327</v>
      </c>
      <c r="Q300" s="32">
        <v>421</v>
      </c>
      <c r="R300" s="32">
        <v>43</v>
      </c>
      <c r="S300" s="32">
        <v>26</v>
      </c>
      <c r="T300" s="32">
        <v>14</v>
      </c>
      <c r="U300" s="32">
        <v>35</v>
      </c>
      <c r="V300" s="32">
        <v>28</v>
      </c>
      <c r="W300" s="32">
        <v>16</v>
      </c>
      <c r="X300" s="32">
        <v>78</v>
      </c>
      <c r="Y300" s="32">
        <v>54</v>
      </c>
      <c r="Z300" s="32">
        <v>30</v>
      </c>
      <c r="AA300" s="32">
        <v>125</v>
      </c>
      <c r="AB300" s="32">
        <v>75</v>
      </c>
      <c r="AC300" s="32">
        <v>41</v>
      </c>
      <c r="AD300" s="32">
        <v>46</v>
      </c>
      <c r="AE300" s="32">
        <v>36</v>
      </c>
      <c r="AF300" s="32">
        <v>21</v>
      </c>
      <c r="AG300" s="32">
        <v>171</v>
      </c>
      <c r="AH300" s="32">
        <v>111</v>
      </c>
      <c r="AI300" s="32">
        <v>62</v>
      </c>
      <c r="AJ300" s="32">
        <v>171</v>
      </c>
      <c r="AK300" s="32">
        <v>337</v>
      </c>
      <c r="AL300" s="32">
        <v>50.7</v>
      </c>
    </row>
    <row r="301" spans="1:38" ht="13.5" hidden="1" customHeight="1">
      <c r="A301" s="30" t="s">
        <v>2272</v>
      </c>
      <c r="B301" s="30" t="s">
        <v>2273</v>
      </c>
      <c r="C301" s="30" t="s">
        <v>235</v>
      </c>
      <c r="D301" s="30" t="s">
        <v>2012</v>
      </c>
      <c r="E301" s="30" t="s">
        <v>2026</v>
      </c>
      <c r="F301" s="30" t="s">
        <v>2027</v>
      </c>
      <c r="G301" s="30"/>
      <c r="H301" s="30" t="s">
        <v>2442</v>
      </c>
      <c r="I301" s="30" t="s">
        <v>2015</v>
      </c>
      <c r="J301" s="30" t="s">
        <v>2015</v>
      </c>
      <c r="K301" s="30" t="s">
        <v>2018</v>
      </c>
      <c r="L301" s="30" t="s">
        <v>2017</v>
      </c>
      <c r="M301" s="30" t="s">
        <v>2018</v>
      </c>
      <c r="N301" s="30" t="s">
        <v>2018</v>
      </c>
      <c r="O301" s="30" t="s">
        <v>2015</v>
      </c>
      <c r="P301" s="32">
        <v>1529</v>
      </c>
      <c r="Q301" s="32">
        <v>1075</v>
      </c>
      <c r="R301" s="32">
        <v>150</v>
      </c>
      <c r="S301" s="32">
        <v>63</v>
      </c>
      <c r="T301" s="32">
        <v>24</v>
      </c>
      <c r="U301" s="32">
        <v>136</v>
      </c>
      <c r="V301" s="32">
        <v>84</v>
      </c>
      <c r="W301" s="32">
        <v>48</v>
      </c>
      <c r="X301" s="32">
        <v>286</v>
      </c>
      <c r="Y301" s="32">
        <v>147</v>
      </c>
      <c r="Z301" s="32">
        <v>72</v>
      </c>
      <c r="AA301" s="32">
        <v>428</v>
      </c>
      <c r="AB301" s="32">
        <v>180</v>
      </c>
      <c r="AC301" s="32">
        <v>68</v>
      </c>
      <c r="AD301" s="32">
        <v>170</v>
      </c>
      <c r="AE301" s="32">
        <v>105</v>
      </c>
      <c r="AF301" s="32">
        <v>60</v>
      </c>
      <c r="AG301" s="32">
        <v>598</v>
      </c>
      <c r="AH301" s="32">
        <v>285</v>
      </c>
      <c r="AI301" s="32">
        <v>128</v>
      </c>
      <c r="AJ301" s="32">
        <v>598</v>
      </c>
      <c r="AK301" s="32">
        <v>1527</v>
      </c>
      <c r="AL301" s="32">
        <v>39.200000000000003</v>
      </c>
    </row>
    <row r="302" spans="1:38" ht="13.5" hidden="1" customHeight="1">
      <c r="A302" s="30" t="s">
        <v>2272</v>
      </c>
      <c r="B302" s="30" t="s">
        <v>2273</v>
      </c>
      <c r="C302" s="30" t="s">
        <v>235</v>
      </c>
      <c r="D302" s="30" t="s">
        <v>2012</v>
      </c>
      <c r="E302" s="30" t="s">
        <v>2026</v>
      </c>
      <c r="F302" s="30" t="s">
        <v>2027</v>
      </c>
      <c r="G302" s="30"/>
      <c r="H302" s="30" t="s">
        <v>2443</v>
      </c>
      <c r="I302" s="30" t="s">
        <v>2015</v>
      </c>
      <c r="J302" s="30" t="s">
        <v>2015</v>
      </c>
      <c r="K302" s="30" t="s">
        <v>2018</v>
      </c>
      <c r="L302" s="30" t="s">
        <v>2017</v>
      </c>
      <c r="M302" s="30" t="s">
        <v>2018</v>
      </c>
      <c r="N302" s="30" t="s">
        <v>2018</v>
      </c>
      <c r="O302" s="30" t="s">
        <v>2015</v>
      </c>
      <c r="P302" s="32">
        <v>1370</v>
      </c>
      <c r="Q302" s="32">
        <v>816</v>
      </c>
      <c r="R302" s="32">
        <v>122</v>
      </c>
      <c r="S302" s="32">
        <v>50</v>
      </c>
      <c r="T302" s="32">
        <v>15</v>
      </c>
      <c r="U302" s="32">
        <v>115</v>
      </c>
      <c r="V302" s="32">
        <v>67</v>
      </c>
      <c r="W302" s="32">
        <v>39</v>
      </c>
      <c r="X302" s="32">
        <v>237</v>
      </c>
      <c r="Y302" s="32">
        <v>117</v>
      </c>
      <c r="Z302" s="32">
        <v>54</v>
      </c>
      <c r="AA302" s="32">
        <v>366</v>
      </c>
      <c r="AB302" s="32">
        <v>150</v>
      </c>
      <c r="AC302" s="32">
        <v>45</v>
      </c>
      <c r="AD302" s="32">
        <v>138</v>
      </c>
      <c r="AE302" s="32">
        <v>80</v>
      </c>
      <c r="AF302" s="32">
        <v>47</v>
      </c>
      <c r="AG302" s="32">
        <v>504</v>
      </c>
      <c r="AH302" s="32">
        <v>230</v>
      </c>
      <c r="AI302" s="32">
        <v>92</v>
      </c>
      <c r="AJ302" s="32">
        <v>504</v>
      </c>
      <c r="AK302" s="32">
        <v>1370</v>
      </c>
      <c r="AL302" s="32">
        <v>36.799999999999997</v>
      </c>
    </row>
    <row r="303" spans="1:38" ht="13.5" hidden="1" customHeight="1">
      <c r="A303" s="30" t="s">
        <v>2272</v>
      </c>
      <c r="B303" s="30" t="s">
        <v>2273</v>
      </c>
      <c r="C303" s="30" t="s">
        <v>235</v>
      </c>
      <c r="D303" s="30" t="s">
        <v>2012</v>
      </c>
      <c r="E303" s="30" t="s">
        <v>2026</v>
      </c>
      <c r="F303" s="30" t="s">
        <v>2027</v>
      </c>
      <c r="G303" s="30"/>
      <c r="H303" s="30" t="s">
        <v>2444</v>
      </c>
      <c r="I303" s="30" t="s">
        <v>2015</v>
      </c>
      <c r="J303" s="30" t="s">
        <v>2015</v>
      </c>
      <c r="K303" s="30" t="s">
        <v>2018</v>
      </c>
      <c r="L303" s="30" t="s">
        <v>2017</v>
      </c>
      <c r="M303" s="30" t="s">
        <v>2018</v>
      </c>
      <c r="N303" s="30" t="s">
        <v>2018</v>
      </c>
      <c r="O303" s="30" t="s">
        <v>2015</v>
      </c>
      <c r="P303" s="32">
        <v>533</v>
      </c>
      <c r="Q303" s="32">
        <v>262</v>
      </c>
      <c r="R303" s="32">
        <v>39</v>
      </c>
      <c r="S303" s="32">
        <v>21</v>
      </c>
      <c r="T303" s="32">
        <v>9</v>
      </c>
      <c r="U303" s="32">
        <v>32</v>
      </c>
      <c r="V303" s="32">
        <v>22</v>
      </c>
      <c r="W303" s="32">
        <v>12</v>
      </c>
      <c r="X303" s="32">
        <v>71</v>
      </c>
      <c r="Y303" s="32">
        <v>43</v>
      </c>
      <c r="Z303" s="32">
        <v>21</v>
      </c>
      <c r="AA303" s="32">
        <v>105</v>
      </c>
      <c r="AB303" s="32">
        <v>57</v>
      </c>
      <c r="AC303" s="32">
        <v>24</v>
      </c>
      <c r="AD303" s="32">
        <v>38</v>
      </c>
      <c r="AE303" s="32">
        <v>26</v>
      </c>
      <c r="AF303" s="32">
        <v>14</v>
      </c>
      <c r="AG303" s="32">
        <v>143</v>
      </c>
      <c r="AH303" s="32">
        <v>83</v>
      </c>
      <c r="AI303" s="32">
        <v>38</v>
      </c>
      <c r="AJ303" s="32">
        <v>143</v>
      </c>
      <c r="AK303" s="32">
        <v>540</v>
      </c>
      <c r="AL303" s="32">
        <v>26.5</v>
      </c>
    </row>
    <row r="304" spans="1:38" ht="13.5" hidden="1" customHeight="1">
      <c r="A304" s="30" t="s">
        <v>2272</v>
      </c>
      <c r="B304" s="30" t="s">
        <v>2273</v>
      </c>
      <c r="C304" s="30" t="s">
        <v>235</v>
      </c>
      <c r="D304" s="30" t="s">
        <v>2012</v>
      </c>
      <c r="E304" s="30" t="s">
        <v>2026</v>
      </c>
      <c r="F304" s="30" t="s">
        <v>2027</v>
      </c>
      <c r="G304" s="30"/>
      <c r="H304" s="30" t="s">
        <v>2445</v>
      </c>
      <c r="I304" s="30" t="s">
        <v>2015</v>
      </c>
      <c r="J304" s="30" t="s">
        <v>2015</v>
      </c>
      <c r="K304" s="30" t="s">
        <v>2018</v>
      </c>
      <c r="L304" s="30" t="s">
        <v>2017</v>
      </c>
      <c r="M304" s="30" t="s">
        <v>2018</v>
      </c>
      <c r="N304" s="30" t="s">
        <v>2018</v>
      </c>
      <c r="O304" s="30" t="s">
        <v>2015</v>
      </c>
      <c r="P304" s="32">
        <v>306</v>
      </c>
      <c r="Q304" s="32">
        <v>176</v>
      </c>
      <c r="R304" s="32">
        <v>36</v>
      </c>
      <c r="S304" s="32">
        <v>18</v>
      </c>
      <c r="T304" s="32">
        <v>12</v>
      </c>
      <c r="U304" s="32">
        <v>16</v>
      </c>
      <c r="V304" s="32">
        <v>7</v>
      </c>
      <c r="W304" s="32">
        <v>5</v>
      </c>
      <c r="X304" s="32">
        <v>52</v>
      </c>
      <c r="Y304" s="32">
        <v>25</v>
      </c>
      <c r="Z304" s="32">
        <v>17</v>
      </c>
      <c r="AA304" s="32">
        <v>119</v>
      </c>
      <c r="AB304" s="32">
        <v>59</v>
      </c>
      <c r="AC304" s="32">
        <v>40</v>
      </c>
      <c r="AD304" s="32">
        <v>24</v>
      </c>
      <c r="AE304" s="32">
        <v>11</v>
      </c>
      <c r="AF304" s="32">
        <v>8</v>
      </c>
      <c r="AG304" s="32">
        <v>143</v>
      </c>
      <c r="AH304" s="32">
        <v>70</v>
      </c>
      <c r="AI304" s="32">
        <v>48</v>
      </c>
      <c r="AJ304" s="32">
        <v>143</v>
      </c>
      <c r="AK304" s="32">
        <v>340</v>
      </c>
      <c r="AL304" s="32">
        <v>42.1</v>
      </c>
    </row>
    <row r="305" spans="1:38" ht="13.5" hidden="1" customHeight="1">
      <c r="A305" s="30" t="s">
        <v>2272</v>
      </c>
      <c r="B305" s="30" t="s">
        <v>2273</v>
      </c>
      <c r="C305" s="30" t="s">
        <v>235</v>
      </c>
      <c r="D305" s="30" t="s">
        <v>2012</v>
      </c>
      <c r="E305" s="30" t="s">
        <v>2026</v>
      </c>
      <c r="F305" s="30" t="s">
        <v>2027</v>
      </c>
      <c r="G305" s="30"/>
      <c r="H305" s="30" t="s">
        <v>2446</v>
      </c>
      <c r="I305" s="30" t="s">
        <v>2015</v>
      </c>
      <c r="J305" s="30" t="s">
        <v>2015</v>
      </c>
      <c r="K305" s="30" t="s">
        <v>2018</v>
      </c>
      <c r="L305" s="30" t="s">
        <v>2017</v>
      </c>
      <c r="M305" s="30" t="s">
        <v>2018</v>
      </c>
      <c r="N305" s="30" t="s">
        <v>2018</v>
      </c>
      <c r="O305" s="30" t="s">
        <v>2015</v>
      </c>
      <c r="P305" s="32">
        <v>988</v>
      </c>
      <c r="Q305" s="32">
        <v>558</v>
      </c>
      <c r="R305" s="32">
        <v>124</v>
      </c>
      <c r="S305" s="32">
        <v>46</v>
      </c>
      <c r="T305" s="32">
        <v>15</v>
      </c>
      <c r="U305" s="32">
        <v>109</v>
      </c>
      <c r="V305" s="32">
        <v>76</v>
      </c>
      <c r="W305" s="32">
        <v>35</v>
      </c>
      <c r="X305" s="32">
        <v>233</v>
      </c>
      <c r="Y305" s="32">
        <v>122</v>
      </c>
      <c r="Z305" s="32">
        <v>50</v>
      </c>
      <c r="AA305" s="32">
        <v>347</v>
      </c>
      <c r="AB305" s="32">
        <v>129</v>
      </c>
      <c r="AC305" s="32">
        <v>42</v>
      </c>
      <c r="AD305" s="32">
        <v>131</v>
      </c>
      <c r="AE305" s="32">
        <v>91</v>
      </c>
      <c r="AF305" s="32">
        <v>42</v>
      </c>
      <c r="AG305" s="32">
        <v>478</v>
      </c>
      <c r="AH305" s="32">
        <v>220</v>
      </c>
      <c r="AI305" s="32">
        <v>84</v>
      </c>
      <c r="AJ305" s="32">
        <v>478</v>
      </c>
      <c r="AK305" s="32">
        <v>952</v>
      </c>
      <c r="AL305" s="32">
        <v>50.2</v>
      </c>
    </row>
    <row r="306" spans="1:38" ht="13.5" hidden="1" customHeight="1">
      <c r="A306" s="30" t="s">
        <v>2272</v>
      </c>
      <c r="B306" s="30" t="s">
        <v>2273</v>
      </c>
      <c r="C306" s="30" t="s">
        <v>235</v>
      </c>
      <c r="D306" s="30" t="s">
        <v>2012</v>
      </c>
      <c r="E306" s="30" t="s">
        <v>2028</v>
      </c>
      <c r="F306" s="30" t="s">
        <v>2029</v>
      </c>
      <c r="G306" s="30"/>
      <c r="H306" s="30" t="s">
        <v>2447</v>
      </c>
      <c r="I306" s="30" t="s">
        <v>2015</v>
      </c>
      <c r="J306" s="30" t="s">
        <v>2015</v>
      </c>
      <c r="K306" s="30" t="s">
        <v>2018</v>
      </c>
      <c r="L306" s="30" t="s">
        <v>2017</v>
      </c>
      <c r="M306" s="30" t="s">
        <v>2018</v>
      </c>
      <c r="N306" s="30" t="s">
        <v>2018</v>
      </c>
      <c r="O306" s="30" t="s">
        <v>2015</v>
      </c>
      <c r="P306" s="32">
        <v>1946</v>
      </c>
      <c r="Q306" s="32">
        <v>805</v>
      </c>
      <c r="R306" s="32">
        <v>236</v>
      </c>
      <c r="S306" s="32">
        <v>133</v>
      </c>
      <c r="T306" s="32">
        <v>52</v>
      </c>
      <c r="U306" s="32">
        <v>96</v>
      </c>
      <c r="V306" s="32">
        <v>75</v>
      </c>
      <c r="W306" s="32">
        <v>39</v>
      </c>
      <c r="X306" s="32">
        <v>332</v>
      </c>
      <c r="Y306" s="32">
        <v>208</v>
      </c>
      <c r="Z306" s="32">
        <v>91</v>
      </c>
      <c r="AA306" s="32">
        <v>731</v>
      </c>
      <c r="AB306" s="32">
        <v>413</v>
      </c>
      <c r="AC306" s="32">
        <v>161</v>
      </c>
      <c r="AD306" s="32">
        <v>124</v>
      </c>
      <c r="AE306" s="32">
        <v>98</v>
      </c>
      <c r="AF306" s="32">
        <v>51</v>
      </c>
      <c r="AG306" s="32">
        <v>855</v>
      </c>
      <c r="AH306" s="32">
        <v>511</v>
      </c>
      <c r="AI306" s="32">
        <v>212</v>
      </c>
      <c r="AJ306" s="32">
        <v>855</v>
      </c>
      <c r="AK306" s="32">
        <v>1915</v>
      </c>
      <c r="AL306" s="32">
        <v>44.6</v>
      </c>
    </row>
    <row r="307" spans="1:38" ht="13.5" hidden="1" customHeight="1">
      <c r="A307" s="30" t="s">
        <v>2272</v>
      </c>
      <c r="B307" s="30" t="s">
        <v>2273</v>
      </c>
      <c r="C307" s="30" t="s">
        <v>235</v>
      </c>
      <c r="D307" s="30" t="s">
        <v>2012</v>
      </c>
      <c r="E307" s="30" t="s">
        <v>2028</v>
      </c>
      <c r="F307" s="30" t="s">
        <v>2029</v>
      </c>
      <c r="G307" s="30"/>
      <c r="H307" s="30" t="s">
        <v>2056</v>
      </c>
      <c r="I307" s="30" t="s">
        <v>2015</v>
      </c>
      <c r="J307" s="30" t="s">
        <v>2015</v>
      </c>
      <c r="K307" s="30" t="s">
        <v>2018</v>
      </c>
      <c r="L307" s="30" t="s">
        <v>2017</v>
      </c>
      <c r="M307" s="30" t="s">
        <v>2018</v>
      </c>
      <c r="N307" s="30" t="s">
        <v>2018</v>
      </c>
      <c r="O307" s="30" t="s">
        <v>2015</v>
      </c>
      <c r="P307" s="32">
        <v>18560</v>
      </c>
      <c r="Q307" s="32">
        <v>9480</v>
      </c>
      <c r="R307" s="32">
        <v>1704</v>
      </c>
      <c r="S307" s="32">
        <v>919</v>
      </c>
      <c r="T307" s="32">
        <v>449</v>
      </c>
      <c r="U307" s="32">
        <v>2666</v>
      </c>
      <c r="V307" s="32">
        <v>1856</v>
      </c>
      <c r="W307" s="32">
        <v>1083</v>
      </c>
      <c r="X307" s="32">
        <v>4370</v>
      </c>
      <c r="Y307" s="32">
        <v>2775</v>
      </c>
      <c r="Z307" s="32">
        <v>1532</v>
      </c>
      <c r="AA307" s="32">
        <v>4891</v>
      </c>
      <c r="AB307" s="32">
        <v>2661</v>
      </c>
      <c r="AC307" s="32">
        <v>1307</v>
      </c>
      <c r="AD307" s="32">
        <v>3195</v>
      </c>
      <c r="AE307" s="32">
        <v>2202</v>
      </c>
      <c r="AF307" s="32">
        <v>1275</v>
      </c>
      <c r="AG307" s="32">
        <v>8086</v>
      </c>
      <c r="AH307" s="32">
        <v>4863</v>
      </c>
      <c r="AI307" s="32">
        <v>2582</v>
      </c>
      <c r="AJ307" s="32">
        <v>8086</v>
      </c>
      <c r="AK307" s="32">
        <v>17966</v>
      </c>
      <c r="AL307" s="32">
        <v>45</v>
      </c>
    </row>
    <row r="308" spans="1:38" ht="13.5" hidden="1" customHeight="1">
      <c r="A308" s="30" t="s">
        <v>2272</v>
      </c>
      <c r="B308" s="30" t="s">
        <v>2273</v>
      </c>
      <c r="C308" s="30" t="s">
        <v>235</v>
      </c>
      <c r="D308" s="30" t="s">
        <v>2012</v>
      </c>
      <c r="E308" s="30" t="s">
        <v>2028</v>
      </c>
      <c r="F308" s="30" t="s">
        <v>2029</v>
      </c>
      <c r="G308" s="30"/>
      <c r="H308" s="30" t="s">
        <v>2448</v>
      </c>
      <c r="I308" s="30" t="s">
        <v>2015</v>
      </c>
      <c r="J308" s="30" t="s">
        <v>2015</v>
      </c>
      <c r="K308" s="30" t="s">
        <v>2018</v>
      </c>
      <c r="L308" s="30" t="s">
        <v>2017</v>
      </c>
      <c r="M308" s="30" t="s">
        <v>2018</v>
      </c>
      <c r="N308" s="30" t="s">
        <v>2018</v>
      </c>
      <c r="O308" s="30" t="s">
        <v>2015</v>
      </c>
      <c r="P308" s="32">
        <v>2978</v>
      </c>
      <c r="Q308" s="32">
        <v>2007</v>
      </c>
      <c r="R308" s="32">
        <v>293</v>
      </c>
      <c r="S308" s="32">
        <v>148</v>
      </c>
      <c r="T308" s="32">
        <v>64</v>
      </c>
      <c r="U308" s="32">
        <v>172</v>
      </c>
      <c r="V308" s="32">
        <v>128</v>
      </c>
      <c r="W308" s="32">
        <v>68</v>
      </c>
      <c r="X308" s="32">
        <v>465</v>
      </c>
      <c r="Y308" s="32">
        <v>276</v>
      </c>
      <c r="Z308" s="32">
        <v>132</v>
      </c>
      <c r="AA308" s="32">
        <v>864</v>
      </c>
      <c r="AB308" s="32">
        <v>437</v>
      </c>
      <c r="AC308" s="32">
        <v>189</v>
      </c>
      <c r="AD308" s="32">
        <v>224</v>
      </c>
      <c r="AE308" s="32">
        <v>166</v>
      </c>
      <c r="AF308" s="32">
        <v>89</v>
      </c>
      <c r="AG308" s="32">
        <v>1088</v>
      </c>
      <c r="AH308" s="32">
        <v>603</v>
      </c>
      <c r="AI308" s="32">
        <v>278</v>
      </c>
      <c r="AJ308" s="32">
        <v>1088</v>
      </c>
      <c r="AK308" s="32">
        <v>2974</v>
      </c>
      <c r="AL308" s="32">
        <v>36.6</v>
      </c>
    </row>
    <row r="309" spans="1:38" ht="13.5" hidden="1" customHeight="1">
      <c r="A309" s="30" t="s">
        <v>2272</v>
      </c>
      <c r="B309" s="30" t="s">
        <v>2273</v>
      </c>
      <c r="C309" s="30" t="s">
        <v>235</v>
      </c>
      <c r="D309" s="30" t="s">
        <v>2012</v>
      </c>
      <c r="E309" s="30" t="s">
        <v>2028</v>
      </c>
      <c r="F309" s="30" t="s">
        <v>2029</v>
      </c>
      <c r="G309" s="30"/>
      <c r="H309" s="30" t="s">
        <v>2449</v>
      </c>
      <c r="I309" s="30" t="s">
        <v>2015</v>
      </c>
      <c r="J309" s="30" t="s">
        <v>2015</v>
      </c>
      <c r="K309" s="30" t="s">
        <v>2018</v>
      </c>
      <c r="L309" s="30" t="s">
        <v>2017</v>
      </c>
      <c r="M309" s="30" t="s">
        <v>2018</v>
      </c>
      <c r="N309" s="30" t="s">
        <v>2018</v>
      </c>
      <c r="O309" s="30" t="s">
        <v>2015</v>
      </c>
      <c r="P309" s="32">
        <v>2557</v>
      </c>
      <c r="Q309" s="32">
        <v>1069</v>
      </c>
      <c r="R309" s="32">
        <v>252</v>
      </c>
      <c r="S309" s="32">
        <v>139</v>
      </c>
      <c r="T309" s="32">
        <v>49</v>
      </c>
      <c r="U309" s="32">
        <v>175</v>
      </c>
      <c r="V309" s="32">
        <v>120</v>
      </c>
      <c r="W309" s="32">
        <v>79</v>
      </c>
      <c r="X309" s="32">
        <v>427</v>
      </c>
      <c r="Y309" s="32">
        <v>259</v>
      </c>
      <c r="Z309" s="32">
        <v>128</v>
      </c>
      <c r="AA309" s="32">
        <v>739</v>
      </c>
      <c r="AB309" s="32">
        <v>410</v>
      </c>
      <c r="AC309" s="32">
        <v>145</v>
      </c>
      <c r="AD309" s="32">
        <v>218</v>
      </c>
      <c r="AE309" s="32">
        <v>149</v>
      </c>
      <c r="AF309" s="32">
        <v>96</v>
      </c>
      <c r="AG309" s="32">
        <v>957</v>
      </c>
      <c r="AH309" s="32">
        <v>559</v>
      </c>
      <c r="AI309" s="32">
        <v>241</v>
      </c>
      <c r="AJ309" s="32">
        <v>957</v>
      </c>
      <c r="AK309" s="32">
        <v>2557</v>
      </c>
      <c r="AL309" s="32">
        <v>37.4</v>
      </c>
    </row>
    <row r="310" spans="1:38" ht="13.5" hidden="1" customHeight="1">
      <c r="A310" s="30" t="s">
        <v>2272</v>
      </c>
      <c r="B310" s="30" t="s">
        <v>2273</v>
      </c>
      <c r="C310" s="30" t="s">
        <v>235</v>
      </c>
      <c r="D310" s="30" t="s">
        <v>2012</v>
      </c>
      <c r="E310" s="30" t="s">
        <v>2028</v>
      </c>
      <c r="F310" s="30" t="s">
        <v>2029</v>
      </c>
      <c r="G310" s="30"/>
      <c r="H310" s="30" t="s">
        <v>2450</v>
      </c>
      <c r="I310" s="30" t="s">
        <v>2015</v>
      </c>
      <c r="J310" s="30" t="s">
        <v>2015</v>
      </c>
      <c r="K310" s="30" t="s">
        <v>2018</v>
      </c>
      <c r="L310" s="30" t="s">
        <v>2017</v>
      </c>
      <c r="M310" s="30" t="s">
        <v>2018</v>
      </c>
      <c r="N310" s="30" t="s">
        <v>2018</v>
      </c>
      <c r="O310" s="30" t="s">
        <v>2015</v>
      </c>
      <c r="P310" s="32">
        <v>2559</v>
      </c>
      <c r="Q310" s="32">
        <v>1015</v>
      </c>
      <c r="R310" s="32">
        <v>222</v>
      </c>
      <c r="S310" s="32">
        <v>156</v>
      </c>
      <c r="T310" s="32">
        <v>78</v>
      </c>
      <c r="U310" s="32">
        <v>144</v>
      </c>
      <c r="V310" s="32">
        <v>99</v>
      </c>
      <c r="W310" s="32">
        <v>70</v>
      </c>
      <c r="X310" s="32">
        <v>366</v>
      </c>
      <c r="Y310" s="32">
        <v>255</v>
      </c>
      <c r="Z310" s="32">
        <v>148</v>
      </c>
      <c r="AA310" s="32">
        <v>666</v>
      </c>
      <c r="AB310" s="32">
        <v>468</v>
      </c>
      <c r="AC310" s="32">
        <v>234</v>
      </c>
      <c r="AD310" s="32">
        <v>201</v>
      </c>
      <c r="AE310" s="32">
        <v>139</v>
      </c>
      <c r="AF310" s="32">
        <v>98</v>
      </c>
      <c r="AG310" s="32">
        <v>867</v>
      </c>
      <c r="AH310" s="32">
        <v>607</v>
      </c>
      <c r="AI310" s="32">
        <v>332</v>
      </c>
      <c r="AJ310" s="32">
        <v>867</v>
      </c>
      <c r="AK310" s="32">
        <v>2456</v>
      </c>
      <c r="AL310" s="32">
        <v>35.299999999999997</v>
      </c>
    </row>
    <row r="311" spans="1:38" ht="13.5" hidden="1" customHeight="1">
      <c r="A311" s="30" t="s">
        <v>2272</v>
      </c>
      <c r="B311" s="30" t="s">
        <v>2273</v>
      </c>
      <c r="C311" s="30" t="s">
        <v>235</v>
      </c>
      <c r="D311" s="30" t="s">
        <v>2012</v>
      </c>
      <c r="E311" s="30" t="s">
        <v>2028</v>
      </c>
      <c r="F311" s="30" t="s">
        <v>2029</v>
      </c>
      <c r="G311" s="30"/>
      <c r="H311" s="30" t="s">
        <v>2451</v>
      </c>
      <c r="I311" s="30" t="s">
        <v>2015</v>
      </c>
      <c r="J311" s="30" t="s">
        <v>2015</v>
      </c>
      <c r="K311" s="30" t="s">
        <v>2018</v>
      </c>
      <c r="L311" s="30" t="s">
        <v>2017</v>
      </c>
      <c r="M311" s="30" t="s">
        <v>2018</v>
      </c>
      <c r="N311" s="30" t="s">
        <v>2018</v>
      </c>
      <c r="O311" s="30" t="s">
        <v>2015</v>
      </c>
      <c r="P311" s="32">
        <v>4106</v>
      </c>
      <c r="Q311" s="32">
        <v>2029</v>
      </c>
      <c r="R311" s="32">
        <v>408</v>
      </c>
      <c r="S311" s="32">
        <v>117</v>
      </c>
      <c r="T311" s="32">
        <v>32</v>
      </c>
      <c r="U311" s="32">
        <v>187</v>
      </c>
      <c r="V311" s="32">
        <v>135</v>
      </c>
      <c r="W311" s="32">
        <v>76</v>
      </c>
      <c r="X311" s="32">
        <v>595</v>
      </c>
      <c r="Y311" s="32">
        <v>252</v>
      </c>
      <c r="Z311" s="32">
        <v>108</v>
      </c>
      <c r="AA311" s="32">
        <v>1267</v>
      </c>
      <c r="AB311" s="32">
        <v>365</v>
      </c>
      <c r="AC311" s="32">
        <v>102</v>
      </c>
      <c r="AD311" s="32">
        <v>245</v>
      </c>
      <c r="AE311" s="32">
        <v>179</v>
      </c>
      <c r="AF311" s="32">
        <v>99</v>
      </c>
      <c r="AG311" s="32">
        <v>1512</v>
      </c>
      <c r="AH311" s="32">
        <v>544</v>
      </c>
      <c r="AI311" s="32">
        <v>201</v>
      </c>
      <c r="AJ311" s="32">
        <v>1512</v>
      </c>
      <c r="AK311" s="32">
        <v>4106</v>
      </c>
      <c r="AL311" s="32">
        <v>36.799999999999997</v>
      </c>
    </row>
    <row r="312" spans="1:38" ht="13.5" hidden="1" customHeight="1">
      <c r="A312" s="30" t="s">
        <v>2272</v>
      </c>
      <c r="B312" s="30" t="s">
        <v>2273</v>
      </c>
      <c r="C312" s="30" t="s">
        <v>235</v>
      </c>
      <c r="D312" s="30" t="s">
        <v>2012</v>
      </c>
      <c r="E312" s="30" t="s">
        <v>2028</v>
      </c>
      <c r="F312" s="30" t="s">
        <v>2029</v>
      </c>
      <c r="G312" s="30"/>
      <c r="H312" s="30" t="s">
        <v>2452</v>
      </c>
      <c r="I312" s="30" t="s">
        <v>2015</v>
      </c>
      <c r="J312" s="30" t="s">
        <v>2015</v>
      </c>
      <c r="K312" s="30" t="s">
        <v>2018</v>
      </c>
      <c r="L312" s="30" t="s">
        <v>2017</v>
      </c>
      <c r="M312" s="30" t="s">
        <v>2018</v>
      </c>
      <c r="N312" s="30" t="s">
        <v>2018</v>
      </c>
      <c r="O312" s="30" t="s">
        <v>2015</v>
      </c>
      <c r="P312" s="32">
        <v>3340</v>
      </c>
      <c r="Q312" s="32">
        <v>1409</v>
      </c>
      <c r="R312" s="32">
        <v>420</v>
      </c>
      <c r="S312" s="32">
        <v>219</v>
      </c>
      <c r="T312" s="32">
        <v>88</v>
      </c>
      <c r="U312" s="32">
        <v>221</v>
      </c>
      <c r="V312" s="32">
        <v>139</v>
      </c>
      <c r="W312" s="32">
        <v>61</v>
      </c>
      <c r="X312" s="32">
        <v>641</v>
      </c>
      <c r="Y312" s="32">
        <v>358</v>
      </c>
      <c r="Z312" s="32">
        <v>149</v>
      </c>
      <c r="AA312" s="32">
        <v>1272</v>
      </c>
      <c r="AB312" s="32">
        <v>656</v>
      </c>
      <c r="AC312" s="32">
        <v>266</v>
      </c>
      <c r="AD312" s="32">
        <v>265</v>
      </c>
      <c r="AE312" s="32">
        <v>167</v>
      </c>
      <c r="AF312" s="32">
        <v>73</v>
      </c>
      <c r="AG312" s="32">
        <v>1537</v>
      </c>
      <c r="AH312" s="32">
        <v>823</v>
      </c>
      <c r="AI312" s="32">
        <v>339</v>
      </c>
      <c r="AJ312" s="32">
        <v>1537</v>
      </c>
      <c r="AK312" s="32">
        <v>3334</v>
      </c>
      <c r="AL312" s="32">
        <v>46.1</v>
      </c>
    </row>
    <row r="313" spans="1:38" ht="13.5" hidden="1" customHeight="1">
      <c r="A313" s="30" t="s">
        <v>2272</v>
      </c>
      <c r="B313" s="30" t="s">
        <v>2273</v>
      </c>
      <c r="C313" s="30" t="s">
        <v>235</v>
      </c>
      <c r="D313" s="30" t="s">
        <v>2012</v>
      </c>
      <c r="E313" s="30" t="s">
        <v>2028</v>
      </c>
      <c r="F313" s="30" t="s">
        <v>2029</v>
      </c>
      <c r="G313" s="30"/>
      <c r="H313" s="30" t="s">
        <v>2453</v>
      </c>
      <c r="I313" s="30" t="s">
        <v>2015</v>
      </c>
      <c r="J313" s="30" t="s">
        <v>2015</v>
      </c>
      <c r="K313" s="30" t="s">
        <v>2018</v>
      </c>
      <c r="L313" s="30" t="s">
        <v>2017</v>
      </c>
      <c r="M313" s="30" t="s">
        <v>2018</v>
      </c>
      <c r="N313" s="30" t="s">
        <v>2018</v>
      </c>
      <c r="O313" s="30" t="s">
        <v>2015</v>
      </c>
      <c r="P313" s="32">
        <v>2804</v>
      </c>
      <c r="Q313" s="32">
        <v>1273</v>
      </c>
      <c r="R313" s="32">
        <v>278</v>
      </c>
      <c r="S313" s="32">
        <v>155</v>
      </c>
      <c r="T313" s="32">
        <v>67</v>
      </c>
      <c r="U313" s="32">
        <v>244</v>
      </c>
      <c r="V313" s="32">
        <v>148</v>
      </c>
      <c r="W313" s="32">
        <v>78</v>
      </c>
      <c r="X313" s="32">
        <v>522</v>
      </c>
      <c r="Y313" s="32">
        <v>303</v>
      </c>
      <c r="Z313" s="32">
        <v>145</v>
      </c>
      <c r="AA313" s="32">
        <v>796</v>
      </c>
      <c r="AB313" s="32">
        <v>444</v>
      </c>
      <c r="AC313" s="32">
        <v>192</v>
      </c>
      <c r="AD313" s="32">
        <v>292</v>
      </c>
      <c r="AE313" s="32">
        <v>173</v>
      </c>
      <c r="AF313" s="32">
        <v>91</v>
      </c>
      <c r="AG313" s="32">
        <v>1088</v>
      </c>
      <c r="AH313" s="32">
        <v>617</v>
      </c>
      <c r="AI313" s="32">
        <v>283</v>
      </c>
      <c r="AJ313" s="32">
        <v>1088</v>
      </c>
      <c r="AK313" s="32">
        <v>2731</v>
      </c>
      <c r="AL313" s="32">
        <v>39.799999999999997</v>
      </c>
    </row>
    <row r="314" spans="1:38" ht="13.5" hidden="1" customHeight="1">
      <c r="A314" s="30" t="s">
        <v>2272</v>
      </c>
      <c r="B314" s="30" t="s">
        <v>2273</v>
      </c>
      <c r="C314" s="30" t="s">
        <v>235</v>
      </c>
      <c r="D314" s="30" t="s">
        <v>2012</v>
      </c>
      <c r="E314" s="30" t="s">
        <v>2028</v>
      </c>
      <c r="F314" s="30" t="s">
        <v>2029</v>
      </c>
      <c r="G314" s="30"/>
      <c r="H314" s="30" t="s">
        <v>2454</v>
      </c>
      <c r="I314" s="30" t="s">
        <v>2015</v>
      </c>
      <c r="J314" s="30" t="s">
        <v>2015</v>
      </c>
      <c r="K314" s="30" t="s">
        <v>2018</v>
      </c>
      <c r="L314" s="30" t="s">
        <v>2017</v>
      </c>
      <c r="M314" s="30" t="s">
        <v>2018</v>
      </c>
      <c r="N314" s="30" t="s">
        <v>2018</v>
      </c>
      <c r="O314" s="30" t="s">
        <v>2015</v>
      </c>
      <c r="P314" s="32">
        <v>1040</v>
      </c>
      <c r="Q314" s="32">
        <v>690</v>
      </c>
      <c r="R314" s="32">
        <v>77</v>
      </c>
      <c r="S314" s="32">
        <v>32</v>
      </c>
      <c r="T314" s="32">
        <v>11</v>
      </c>
      <c r="U314" s="32">
        <v>74</v>
      </c>
      <c r="V314" s="32">
        <v>46</v>
      </c>
      <c r="W314" s="32">
        <v>27</v>
      </c>
      <c r="X314" s="32">
        <v>151</v>
      </c>
      <c r="Y314" s="32">
        <v>78</v>
      </c>
      <c r="Z314" s="32">
        <v>38</v>
      </c>
      <c r="AA314" s="32">
        <v>231</v>
      </c>
      <c r="AB314" s="32">
        <v>96</v>
      </c>
      <c r="AC314" s="32">
        <v>33</v>
      </c>
      <c r="AD314" s="32">
        <v>104</v>
      </c>
      <c r="AE314" s="32">
        <v>64</v>
      </c>
      <c r="AF314" s="32">
        <v>38</v>
      </c>
      <c r="AG314" s="32">
        <v>335</v>
      </c>
      <c r="AH314" s="32">
        <v>160</v>
      </c>
      <c r="AI314" s="32">
        <v>71</v>
      </c>
      <c r="AJ314" s="32">
        <v>335</v>
      </c>
      <c r="AK314" s="32">
        <v>1040</v>
      </c>
      <c r="AL314" s="32">
        <v>32.200000000000003</v>
      </c>
    </row>
    <row r="315" spans="1:38" ht="13.5" hidden="1" customHeight="1">
      <c r="A315" s="30" t="s">
        <v>2272</v>
      </c>
      <c r="B315" s="30" t="s">
        <v>2273</v>
      </c>
      <c r="C315" s="30" t="s">
        <v>235</v>
      </c>
      <c r="D315" s="30" t="s">
        <v>2012</v>
      </c>
      <c r="E315" s="30" t="s">
        <v>2028</v>
      </c>
      <c r="F315" s="30" t="s">
        <v>2029</v>
      </c>
      <c r="G315" s="30"/>
      <c r="H315" s="30" t="s">
        <v>2132</v>
      </c>
      <c r="I315" s="30" t="s">
        <v>2015</v>
      </c>
      <c r="J315" s="30" t="s">
        <v>2015</v>
      </c>
      <c r="K315" s="30" t="s">
        <v>2018</v>
      </c>
      <c r="L315" s="30" t="s">
        <v>2017</v>
      </c>
      <c r="M315" s="30" t="s">
        <v>2018</v>
      </c>
      <c r="N315" s="30" t="s">
        <v>2018</v>
      </c>
      <c r="O315" s="30" t="s">
        <v>2015</v>
      </c>
      <c r="P315" s="32">
        <v>6198</v>
      </c>
      <c r="Q315" s="32">
        <v>2702</v>
      </c>
      <c r="R315" s="32">
        <v>618</v>
      </c>
      <c r="S315" s="32">
        <v>345</v>
      </c>
      <c r="T315" s="32">
        <v>166</v>
      </c>
      <c r="U315" s="32">
        <v>523</v>
      </c>
      <c r="V315" s="32">
        <v>373</v>
      </c>
      <c r="W315" s="32">
        <v>190</v>
      </c>
      <c r="X315" s="32">
        <v>1141</v>
      </c>
      <c r="Y315" s="32">
        <v>718</v>
      </c>
      <c r="Z315" s="32">
        <v>356</v>
      </c>
      <c r="AA315" s="32">
        <v>1923</v>
      </c>
      <c r="AB315" s="32">
        <v>1080</v>
      </c>
      <c r="AC315" s="32">
        <v>519</v>
      </c>
      <c r="AD315" s="32">
        <v>621</v>
      </c>
      <c r="AE315" s="32">
        <v>441</v>
      </c>
      <c r="AF315" s="32">
        <v>227</v>
      </c>
      <c r="AG315" s="32">
        <v>2544</v>
      </c>
      <c r="AH315" s="32">
        <v>1521</v>
      </c>
      <c r="AI315" s="32">
        <v>746</v>
      </c>
      <c r="AJ315" s="32">
        <v>2544</v>
      </c>
      <c r="AK315" s="32">
        <v>6041</v>
      </c>
      <c r="AL315" s="32">
        <v>42.1</v>
      </c>
    </row>
    <row r="316" spans="1:38" ht="13.5" hidden="1" customHeight="1">
      <c r="A316" s="30" t="s">
        <v>2272</v>
      </c>
      <c r="B316" s="30" t="s">
        <v>2273</v>
      </c>
      <c r="C316" s="30" t="s">
        <v>235</v>
      </c>
      <c r="D316" s="30" t="s">
        <v>2012</v>
      </c>
      <c r="E316" s="30" t="s">
        <v>2028</v>
      </c>
      <c r="F316" s="30" t="s">
        <v>2029</v>
      </c>
      <c r="G316" s="30"/>
      <c r="H316" s="30" t="s">
        <v>2140</v>
      </c>
      <c r="I316" s="30" t="s">
        <v>2015</v>
      </c>
      <c r="J316" s="30" t="s">
        <v>2015</v>
      </c>
      <c r="K316" s="30" t="s">
        <v>2018</v>
      </c>
      <c r="L316" s="30" t="s">
        <v>2017</v>
      </c>
      <c r="M316" s="30" t="s">
        <v>2018</v>
      </c>
      <c r="N316" s="30" t="s">
        <v>2018</v>
      </c>
      <c r="O316" s="30" t="s">
        <v>2015</v>
      </c>
      <c r="P316" s="32">
        <v>2467</v>
      </c>
      <c r="Q316" s="32">
        <v>1243</v>
      </c>
      <c r="R316" s="32">
        <v>145</v>
      </c>
      <c r="S316" s="32">
        <v>53</v>
      </c>
      <c r="T316" s="32">
        <v>21</v>
      </c>
      <c r="U316" s="32">
        <v>325</v>
      </c>
      <c r="V316" s="32">
        <v>202</v>
      </c>
      <c r="W316" s="32">
        <v>93</v>
      </c>
      <c r="X316" s="32">
        <v>470</v>
      </c>
      <c r="Y316" s="32">
        <v>255</v>
      </c>
      <c r="Z316" s="32">
        <v>114</v>
      </c>
      <c r="AA316" s="32">
        <v>416</v>
      </c>
      <c r="AB316" s="32">
        <v>153</v>
      </c>
      <c r="AC316" s="32">
        <v>61</v>
      </c>
      <c r="AD316" s="32">
        <v>360</v>
      </c>
      <c r="AE316" s="32">
        <v>223</v>
      </c>
      <c r="AF316" s="32">
        <v>103</v>
      </c>
      <c r="AG316" s="32">
        <v>776</v>
      </c>
      <c r="AH316" s="32">
        <v>376</v>
      </c>
      <c r="AI316" s="32">
        <v>164</v>
      </c>
      <c r="AJ316" s="32">
        <v>776</v>
      </c>
      <c r="AK316" s="32">
        <v>2364</v>
      </c>
      <c r="AL316" s="32">
        <v>32.799999999999997</v>
      </c>
    </row>
    <row r="317" spans="1:38" ht="13.5" hidden="1" customHeight="1">
      <c r="A317" s="30" t="s">
        <v>2272</v>
      </c>
      <c r="B317" s="30" t="s">
        <v>2273</v>
      </c>
      <c r="C317" s="30" t="s">
        <v>235</v>
      </c>
      <c r="D317" s="30" t="s">
        <v>2012</v>
      </c>
      <c r="E317" s="30" t="s">
        <v>2028</v>
      </c>
      <c r="F317" s="30" t="s">
        <v>2029</v>
      </c>
      <c r="G317" s="30"/>
      <c r="H317" s="30" t="s">
        <v>2455</v>
      </c>
      <c r="I317" s="30" t="s">
        <v>2015</v>
      </c>
      <c r="J317" s="30" t="s">
        <v>2015</v>
      </c>
      <c r="K317" s="30" t="s">
        <v>2018</v>
      </c>
      <c r="L317" s="30" t="s">
        <v>2017</v>
      </c>
      <c r="M317" s="30" t="s">
        <v>2018</v>
      </c>
      <c r="N317" s="30" t="s">
        <v>2018</v>
      </c>
      <c r="O317" s="30" t="s">
        <v>2015</v>
      </c>
      <c r="P317" s="32">
        <v>3110</v>
      </c>
      <c r="Q317" s="32">
        <v>1595</v>
      </c>
      <c r="R317" s="32">
        <v>297</v>
      </c>
      <c r="S317" s="32">
        <v>114</v>
      </c>
      <c r="T317" s="32">
        <v>44</v>
      </c>
      <c r="U317" s="32">
        <v>133</v>
      </c>
      <c r="V317" s="32">
        <v>82</v>
      </c>
      <c r="W317" s="32">
        <v>57</v>
      </c>
      <c r="X317" s="32">
        <v>430</v>
      </c>
      <c r="Y317" s="32">
        <v>196</v>
      </c>
      <c r="Z317" s="32">
        <v>101</v>
      </c>
      <c r="AA317" s="32">
        <v>929</v>
      </c>
      <c r="AB317" s="32">
        <v>357</v>
      </c>
      <c r="AC317" s="32">
        <v>137</v>
      </c>
      <c r="AD317" s="32">
        <v>177</v>
      </c>
      <c r="AE317" s="32">
        <v>109</v>
      </c>
      <c r="AF317" s="32">
        <v>75</v>
      </c>
      <c r="AG317" s="32">
        <v>1106</v>
      </c>
      <c r="AH317" s="32">
        <v>466</v>
      </c>
      <c r="AI317" s="32">
        <v>212</v>
      </c>
      <c r="AJ317" s="32">
        <v>1106</v>
      </c>
      <c r="AK317" s="32">
        <v>3107</v>
      </c>
      <c r="AL317" s="32">
        <v>35.6</v>
      </c>
    </row>
    <row r="318" spans="1:38" ht="13.5" hidden="1" customHeight="1">
      <c r="A318" s="30" t="s">
        <v>2272</v>
      </c>
      <c r="B318" s="30" t="s">
        <v>2273</v>
      </c>
      <c r="C318" s="30" t="s">
        <v>235</v>
      </c>
      <c r="D318" s="30" t="s">
        <v>2012</v>
      </c>
      <c r="E318" s="30" t="s">
        <v>2028</v>
      </c>
      <c r="F318" s="30" t="s">
        <v>2029</v>
      </c>
      <c r="G318" s="30"/>
      <c r="H318" s="30" t="s">
        <v>2456</v>
      </c>
      <c r="I318" s="30" t="s">
        <v>2015</v>
      </c>
      <c r="J318" s="30" t="s">
        <v>2015</v>
      </c>
      <c r="K318" s="30" t="s">
        <v>2018</v>
      </c>
      <c r="L318" s="30" t="s">
        <v>2017</v>
      </c>
      <c r="M318" s="30" t="s">
        <v>2018</v>
      </c>
      <c r="N318" s="30" t="s">
        <v>2018</v>
      </c>
      <c r="O318" s="30" t="s">
        <v>2015</v>
      </c>
      <c r="P318" s="32">
        <v>2465</v>
      </c>
      <c r="Q318" s="32">
        <v>1181</v>
      </c>
      <c r="R318" s="32">
        <v>137</v>
      </c>
      <c r="S318" s="32">
        <v>41</v>
      </c>
      <c r="T318" s="32">
        <v>15</v>
      </c>
      <c r="U318" s="32">
        <v>89</v>
      </c>
      <c r="V318" s="32">
        <v>36</v>
      </c>
      <c r="W318" s="32">
        <v>7</v>
      </c>
      <c r="X318" s="32">
        <v>226</v>
      </c>
      <c r="Y318" s="32">
        <v>77</v>
      </c>
      <c r="Z318" s="32">
        <v>22</v>
      </c>
      <c r="AA318" s="32">
        <v>399</v>
      </c>
      <c r="AB318" s="32">
        <v>121</v>
      </c>
      <c r="AC318" s="32">
        <v>44</v>
      </c>
      <c r="AD318" s="32">
        <v>103</v>
      </c>
      <c r="AE318" s="32">
        <v>42</v>
      </c>
      <c r="AF318" s="32">
        <v>9</v>
      </c>
      <c r="AG318" s="32">
        <v>502</v>
      </c>
      <c r="AH318" s="32">
        <v>163</v>
      </c>
      <c r="AI318" s="32">
        <v>53</v>
      </c>
      <c r="AJ318" s="32">
        <v>502</v>
      </c>
      <c r="AK318" s="32">
        <v>2465</v>
      </c>
      <c r="AL318" s="32">
        <v>20.399999999999999</v>
      </c>
    </row>
    <row r="319" spans="1:38" ht="13.5" hidden="1" customHeight="1">
      <c r="A319" s="30" t="s">
        <v>2272</v>
      </c>
      <c r="B319" s="30" t="s">
        <v>2273</v>
      </c>
      <c r="C319" s="30" t="s">
        <v>235</v>
      </c>
      <c r="D319" s="30" t="s">
        <v>2012</v>
      </c>
      <c r="E319" s="30" t="s">
        <v>2028</v>
      </c>
      <c r="F319" s="30" t="s">
        <v>2029</v>
      </c>
      <c r="G319" s="30"/>
      <c r="H319" s="30" t="s">
        <v>2457</v>
      </c>
      <c r="I319" s="30" t="s">
        <v>2015</v>
      </c>
      <c r="J319" s="30" t="s">
        <v>2015</v>
      </c>
      <c r="K319" s="30" t="s">
        <v>2018</v>
      </c>
      <c r="L319" s="30" t="s">
        <v>2017</v>
      </c>
      <c r="M319" s="30" t="s">
        <v>2018</v>
      </c>
      <c r="N319" s="30" t="s">
        <v>2018</v>
      </c>
      <c r="O319" s="30" t="s">
        <v>2015</v>
      </c>
      <c r="P319" s="32">
        <v>3785</v>
      </c>
      <c r="Q319" s="32">
        <v>1801</v>
      </c>
      <c r="R319" s="32">
        <v>327</v>
      </c>
      <c r="S319" s="32">
        <v>153</v>
      </c>
      <c r="T319" s="32">
        <v>112</v>
      </c>
      <c r="U319" s="32">
        <v>217</v>
      </c>
      <c r="V319" s="32">
        <v>150</v>
      </c>
      <c r="W319" s="32">
        <v>65</v>
      </c>
      <c r="X319" s="32">
        <v>544</v>
      </c>
      <c r="Y319" s="32">
        <v>303</v>
      </c>
      <c r="Z319" s="32">
        <v>177</v>
      </c>
      <c r="AA319" s="32">
        <v>1013</v>
      </c>
      <c r="AB319" s="32">
        <v>470</v>
      </c>
      <c r="AC319" s="32">
        <v>343</v>
      </c>
      <c r="AD319" s="32">
        <v>263</v>
      </c>
      <c r="AE319" s="32">
        <v>182</v>
      </c>
      <c r="AF319" s="32">
        <v>80</v>
      </c>
      <c r="AG319" s="32">
        <v>1276</v>
      </c>
      <c r="AH319" s="32">
        <v>652</v>
      </c>
      <c r="AI319" s="32">
        <v>423</v>
      </c>
      <c r="AJ319" s="32">
        <v>1276</v>
      </c>
      <c r="AK319" s="32">
        <v>3778</v>
      </c>
      <c r="AL319" s="32">
        <v>33.799999999999997</v>
      </c>
    </row>
    <row r="320" spans="1:38" ht="13.5" hidden="1" customHeight="1">
      <c r="A320" s="30" t="s">
        <v>2272</v>
      </c>
      <c r="B320" s="30" t="s">
        <v>2273</v>
      </c>
      <c r="C320" s="30" t="s">
        <v>235</v>
      </c>
      <c r="D320" s="30" t="s">
        <v>2012</v>
      </c>
      <c r="E320" s="30" t="s">
        <v>2028</v>
      </c>
      <c r="F320" s="30" t="s">
        <v>2029</v>
      </c>
      <c r="G320" s="30"/>
      <c r="H320" s="30" t="s">
        <v>2458</v>
      </c>
      <c r="I320" s="30" t="s">
        <v>2015</v>
      </c>
      <c r="J320" s="30" t="s">
        <v>2015</v>
      </c>
      <c r="K320" s="30" t="s">
        <v>2018</v>
      </c>
      <c r="L320" s="30" t="s">
        <v>2017</v>
      </c>
      <c r="M320" s="30" t="s">
        <v>2018</v>
      </c>
      <c r="N320" s="30" t="s">
        <v>2018</v>
      </c>
      <c r="O320" s="30" t="s">
        <v>2015</v>
      </c>
      <c r="P320" s="32">
        <v>1524</v>
      </c>
      <c r="Q320" s="32">
        <v>956</v>
      </c>
      <c r="R320" s="32">
        <v>121</v>
      </c>
      <c r="S320" s="32">
        <v>53</v>
      </c>
      <c r="T320" s="32">
        <v>18</v>
      </c>
      <c r="U320" s="32">
        <v>85</v>
      </c>
      <c r="V320" s="32">
        <v>56</v>
      </c>
      <c r="W320" s="32">
        <v>31</v>
      </c>
      <c r="X320" s="32">
        <v>206</v>
      </c>
      <c r="Y320" s="32">
        <v>109</v>
      </c>
      <c r="Z320" s="32">
        <v>49</v>
      </c>
      <c r="AA320" s="32">
        <v>363</v>
      </c>
      <c r="AB320" s="32">
        <v>159</v>
      </c>
      <c r="AC320" s="32">
        <v>54</v>
      </c>
      <c r="AD320" s="32">
        <v>102</v>
      </c>
      <c r="AE320" s="32">
        <v>67</v>
      </c>
      <c r="AF320" s="32">
        <v>37</v>
      </c>
      <c r="AG320" s="32">
        <v>465</v>
      </c>
      <c r="AH320" s="32">
        <v>226</v>
      </c>
      <c r="AI320" s="32">
        <v>91</v>
      </c>
      <c r="AJ320" s="32">
        <v>465</v>
      </c>
      <c r="AK320" s="32">
        <v>1519</v>
      </c>
      <c r="AL320" s="32">
        <v>30.6</v>
      </c>
    </row>
    <row r="321" spans="1:38" ht="13.5" hidden="1" customHeight="1">
      <c r="A321" s="30" t="s">
        <v>2272</v>
      </c>
      <c r="B321" s="30" t="s">
        <v>2273</v>
      </c>
      <c r="C321" s="30" t="s">
        <v>235</v>
      </c>
      <c r="D321" s="30" t="s">
        <v>2012</v>
      </c>
      <c r="E321" s="30" t="s">
        <v>2028</v>
      </c>
      <c r="F321" s="30" t="s">
        <v>2029</v>
      </c>
      <c r="G321" s="30"/>
      <c r="H321" s="30" t="s">
        <v>2459</v>
      </c>
      <c r="I321" s="30" t="s">
        <v>2015</v>
      </c>
      <c r="J321" s="30" t="s">
        <v>2015</v>
      </c>
      <c r="K321" s="30" t="s">
        <v>2018</v>
      </c>
      <c r="L321" s="30" t="s">
        <v>2017</v>
      </c>
      <c r="M321" s="30" t="s">
        <v>2018</v>
      </c>
      <c r="N321" s="30" t="s">
        <v>2018</v>
      </c>
      <c r="O321" s="30" t="s">
        <v>2015</v>
      </c>
      <c r="P321" s="32">
        <v>5959</v>
      </c>
      <c r="Q321" s="32">
        <v>2847</v>
      </c>
      <c r="R321" s="32">
        <v>614</v>
      </c>
      <c r="S321" s="32">
        <v>273</v>
      </c>
      <c r="T321" s="32">
        <v>144</v>
      </c>
      <c r="U321" s="32">
        <v>442</v>
      </c>
      <c r="V321" s="32">
        <v>306</v>
      </c>
      <c r="W321" s="32">
        <v>149</v>
      </c>
      <c r="X321" s="32">
        <v>1056</v>
      </c>
      <c r="Y321" s="32">
        <v>579</v>
      </c>
      <c r="Z321" s="32">
        <v>293</v>
      </c>
      <c r="AA321" s="32">
        <v>1875</v>
      </c>
      <c r="AB321" s="32">
        <v>830</v>
      </c>
      <c r="AC321" s="32">
        <v>438</v>
      </c>
      <c r="AD321" s="32">
        <v>559</v>
      </c>
      <c r="AE321" s="32">
        <v>386</v>
      </c>
      <c r="AF321" s="32">
        <v>181</v>
      </c>
      <c r="AG321" s="32">
        <v>2434</v>
      </c>
      <c r="AH321" s="32">
        <v>1216</v>
      </c>
      <c r="AI321" s="32">
        <v>619</v>
      </c>
      <c r="AJ321" s="32">
        <v>2434</v>
      </c>
      <c r="AK321" s="32">
        <v>5946</v>
      </c>
      <c r="AL321" s="32">
        <v>40.9</v>
      </c>
    </row>
    <row r="322" spans="1:38" ht="13.5" hidden="1" customHeight="1">
      <c r="A322" s="30" t="s">
        <v>2272</v>
      </c>
      <c r="B322" s="30" t="s">
        <v>2273</v>
      </c>
      <c r="C322" s="30" t="s">
        <v>235</v>
      </c>
      <c r="D322" s="30" t="s">
        <v>2012</v>
      </c>
      <c r="E322" s="30" t="s">
        <v>2028</v>
      </c>
      <c r="F322" s="30" t="s">
        <v>2029</v>
      </c>
      <c r="G322" s="30"/>
      <c r="H322" s="30" t="s">
        <v>2460</v>
      </c>
      <c r="I322" s="30" t="s">
        <v>2015</v>
      </c>
      <c r="J322" s="30" t="s">
        <v>2015</v>
      </c>
      <c r="K322" s="30" t="s">
        <v>2018</v>
      </c>
      <c r="L322" s="30" t="s">
        <v>2017</v>
      </c>
      <c r="M322" s="30" t="s">
        <v>2018</v>
      </c>
      <c r="N322" s="30" t="s">
        <v>2018</v>
      </c>
      <c r="O322" s="30" t="s">
        <v>2015</v>
      </c>
      <c r="P322" s="32">
        <v>2548</v>
      </c>
      <c r="Q322" s="32">
        <v>1070</v>
      </c>
      <c r="R322" s="32">
        <v>221</v>
      </c>
      <c r="S322" s="32">
        <v>101</v>
      </c>
      <c r="T322" s="32">
        <v>28</v>
      </c>
      <c r="U322" s="32">
        <v>164</v>
      </c>
      <c r="V322" s="32">
        <v>80</v>
      </c>
      <c r="W322" s="32">
        <v>28</v>
      </c>
      <c r="X322" s="32">
        <v>385</v>
      </c>
      <c r="Y322" s="32">
        <v>181</v>
      </c>
      <c r="Z322" s="32">
        <v>56</v>
      </c>
      <c r="AA322" s="32">
        <v>668</v>
      </c>
      <c r="AB322" s="32">
        <v>299</v>
      </c>
      <c r="AC322" s="32">
        <v>79</v>
      </c>
      <c r="AD322" s="32">
        <v>196</v>
      </c>
      <c r="AE322" s="32">
        <v>96</v>
      </c>
      <c r="AF322" s="32">
        <v>34</v>
      </c>
      <c r="AG322" s="32">
        <v>864</v>
      </c>
      <c r="AH322" s="32">
        <v>395</v>
      </c>
      <c r="AI322" s="32">
        <v>113</v>
      </c>
      <c r="AJ322" s="32">
        <v>864</v>
      </c>
      <c r="AK322" s="32">
        <v>2500</v>
      </c>
      <c r="AL322" s="32">
        <v>34.6</v>
      </c>
    </row>
    <row r="323" spans="1:38" ht="13.5" hidden="1" customHeight="1">
      <c r="A323" s="30" t="s">
        <v>2272</v>
      </c>
      <c r="B323" s="30" t="s">
        <v>2273</v>
      </c>
      <c r="C323" s="30" t="s">
        <v>235</v>
      </c>
      <c r="D323" s="30" t="s">
        <v>2012</v>
      </c>
      <c r="E323" s="30" t="s">
        <v>2028</v>
      </c>
      <c r="F323" s="30" t="s">
        <v>2029</v>
      </c>
      <c r="G323" s="30"/>
      <c r="H323" s="30" t="s">
        <v>2461</v>
      </c>
      <c r="I323" s="30" t="s">
        <v>2015</v>
      </c>
      <c r="J323" s="30" t="s">
        <v>2015</v>
      </c>
      <c r="K323" s="30" t="s">
        <v>2018</v>
      </c>
      <c r="L323" s="30" t="s">
        <v>2017</v>
      </c>
      <c r="M323" s="30" t="s">
        <v>2018</v>
      </c>
      <c r="N323" s="30" t="s">
        <v>2018</v>
      </c>
      <c r="O323" s="30" t="s">
        <v>2015</v>
      </c>
      <c r="P323" s="32">
        <v>1911</v>
      </c>
      <c r="Q323" s="32">
        <v>884</v>
      </c>
      <c r="R323" s="32">
        <v>216</v>
      </c>
      <c r="S323" s="32">
        <v>111</v>
      </c>
      <c r="T323" s="32">
        <v>48</v>
      </c>
      <c r="U323" s="32">
        <v>197</v>
      </c>
      <c r="V323" s="32">
        <v>117</v>
      </c>
      <c r="W323" s="32">
        <v>68</v>
      </c>
      <c r="X323" s="32">
        <v>413</v>
      </c>
      <c r="Y323" s="32">
        <v>228</v>
      </c>
      <c r="Z323" s="32">
        <v>116</v>
      </c>
      <c r="AA323" s="32">
        <v>620</v>
      </c>
      <c r="AB323" s="32">
        <v>321</v>
      </c>
      <c r="AC323" s="32">
        <v>139</v>
      </c>
      <c r="AD323" s="32">
        <v>247</v>
      </c>
      <c r="AE323" s="32">
        <v>147</v>
      </c>
      <c r="AF323" s="32">
        <v>86</v>
      </c>
      <c r="AG323" s="32">
        <v>867</v>
      </c>
      <c r="AH323" s="32">
        <v>468</v>
      </c>
      <c r="AI323" s="32">
        <v>225</v>
      </c>
      <c r="AJ323" s="32">
        <v>867</v>
      </c>
      <c r="AK323" s="32">
        <v>1963</v>
      </c>
      <c r="AL323" s="32">
        <v>44.2</v>
      </c>
    </row>
    <row r="324" spans="1:38" ht="13.5" hidden="1" customHeight="1">
      <c r="A324" s="30" t="s">
        <v>2272</v>
      </c>
      <c r="B324" s="30" t="s">
        <v>2273</v>
      </c>
      <c r="C324" s="30" t="s">
        <v>235</v>
      </c>
      <c r="D324" s="30" t="s">
        <v>2012</v>
      </c>
      <c r="E324" s="30" t="s">
        <v>2028</v>
      </c>
      <c r="F324" s="30" t="s">
        <v>2029</v>
      </c>
      <c r="G324" s="30"/>
      <c r="H324" s="30" t="s">
        <v>2462</v>
      </c>
      <c r="I324" s="30" t="s">
        <v>2015</v>
      </c>
      <c r="J324" s="30" t="s">
        <v>2015</v>
      </c>
      <c r="K324" s="30" t="s">
        <v>2018</v>
      </c>
      <c r="L324" s="30" t="s">
        <v>2017</v>
      </c>
      <c r="M324" s="30" t="s">
        <v>2018</v>
      </c>
      <c r="N324" s="30" t="s">
        <v>2018</v>
      </c>
      <c r="O324" s="30" t="s">
        <v>2015</v>
      </c>
      <c r="P324" s="32">
        <v>2360</v>
      </c>
      <c r="Q324" s="32">
        <v>1148</v>
      </c>
      <c r="R324" s="32">
        <v>191</v>
      </c>
      <c r="S324" s="32">
        <v>94</v>
      </c>
      <c r="T324" s="32">
        <v>31</v>
      </c>
      <c r="U324" s="32">
        <v>74</v>
      </c>
      <c r="V324" s="32">
        <v>46</v>
      </c>
      <c r="W324" s="32">
        <v>28</v>
      </c>
      <c r="X324" s="32">
        <v>265</v>
      </c>
      <c r="Y324" s="32">
        <v>140</v>
      </c>
      <c r="Z324" s="32">
        <v>59</v>
      </c>
      <c r="AA324" s="32">
        <v>607</v>
      </c>
      <c r="AB324" s="32">
        <v>297</v>
      </c>
      <c r="AC324" s="32">
        <v>100</v>
      </c>
      <c r="AD324" s="32">
        <v>87</v>
      </c>
      <c r="AE324" s="32">
        <v>54</v>
      </c>
      <c r="AF324" s="32">
        <v>33</v>
      </c>
      <c r="AG324" s="32">
        <v>694</v>
      </c>
      <c r="AH324" s="32">
        <v>351</v>
      </c>
      <c r="AI324" s="32">
        <v>133</v>
      </c>
      <c r="AJ324" s="32">
        <v>694</v>
      </c>
      <c r="AK324" s="32">
        <v>2360</v>
      </c>
      <c r="AL324" s="32">
        <v>29.4</v>
      </c>
    </row>
    <row r="325" spans="1:38" ht="13.5" hidden="1" customHeight="1">
      <c r="A325" s="30" t="s">
        <v>2272</v>
      </c>
      <c r="B325" s="30" t="s">
        <v>2273</v>
      </c>
      <c r="C325" s="30" t="s">
        <v>235</v>
      </c>
      <c r="D325" s="30" t="s">
        <v>2012</v>
      </c>
      <c r="E325" s="30" t="s">
        <v>2028</v>
      </c>
      <c r="F325" s="30" t="s">
        <v>2029</v>
      </c>
      <c r="G325" s="30"/>
      <c r="H325" s="30" t="s">
        <v>2463</v>
      </c>
      <c r="I325" s="30" t="s">
        <v>2015</v>
      </c>
      <c r="J325" s="30" t="s">
        <v>2015</v>
      </c>
      <c r="K325" s="30" t="s">
        <v>2018</v>
      </c>
      <c r="L325" s="30" t="s">
        <v>2017</v>
      </c>
      <c r="M325" s="30" t="s">
        <v>2018</v>
      </c>
      <c r="N325" s="30" t="s">
        <v>2018</v>
      </c>
      <c r="O325" s="30" t="s">
        <v>2015</v>
      </c>
      <c r="P325" s="32">
        <v>980</v>
      </c>
      <c r="Q325" s="32">
        <v>941</v>
      </c>
      <c r="R325" s="32">
        <v>82</v>
      </c>
      <c r="S325" s="32">
        <v>38</v>
      </c>
      <c r="T325" s="32">
        <v>12</v>
      </c>
      <c r="U325" s="32">
        <v>65</v>
      </c>
      <c r="V325" s="32">
        <v>48</v>
      </c>
      <c r="W325" s="32">
        <v>22</v>
      </c>
      <c r="X325" s="32">
        <v>147</v>
      </c>
      <c r="Y325" s="32">
        <v>86</v>
      </c>
      <c r="Z325" s="32">
        <v>34</v>
      </c>
      <c r="AA325" s="32">
        <v>246</v>
      </c>
      <c r="AB325" s="32">
        <v>114</v>
      </c>
      <c r="AC325" s="32">
        <v>36</v>
      </c>
      <c r="AD325" s="32">
        <v>85</v>
      </c>
      <c r="AE325" s="32">
        <v>62</v>
      </c>
      <c r="AF325" s="32">
        <v>29</v>
      </c>
      <c r="AG325" s="32">
        <v>331</v>
      </c>
      <c r="AH325" s="32">
        <v>176</v>
      </c>
      <c r="AI325" s="32">
        <v>65</v>
      </c>
      <c r="AJ325" s="32">
        <v>331</v>
      </c>
      <c r="AK325" s="32">
        <v>978</v>
      </c>
      <c r="AL325" s="32">
        <v>33.799999999999997</v>
      </c>
    </row>
    <row r="326" spans="1:38" ht="13.5" hidden="1" customHeight="1">
      <c r="A326" s="30" t="s">
        <v>2272</v>
      </c>
      <c r="B326" s="30" t="s">
        <v>2273</v>
      </c>
      <c r="C326" s="30" t="s">
        <v>235</v>
      </c>
      <c r="D326" s="30" t="s">
        <v>2012</v>
      </c>
      <c r="E326" s="30" t="s">
        <v>2028</v>
      </c>
      <c r="F326" s="30" t="s">
        <v>2029</v>
      </c>
      <c r="G326" s="30"/>
      <c r="H326" s="30" t="s">
        <v>2464</v>
      </c>
      <c r="I326" s="30" t="s">
        <v>2015</v>
      </c>
      <c r="J326" s="30" t="s">
        <v>2015</v>
      </c>
      <c r="K326" s="30" t="s">
        <v>2018</v>
      </c>
      <c r="L326" s="30" t="s">
        <v>2017</v>
      </c>
      <c r="M326" s="30" t="s">
        <v>2018</v>
      </c>
      <c r="N326" s="30" t="s">
        <v>2018</v>
      </c>
      <c r="O326" s="30" t="s">
        <v>2015</v>
      </c>
      <c r="P326" s="32">
        <v>3514</v>
      </c>
      <c r="Q326" s="32">
        <v>1518</v>
      </c>
      <c r="R326" s="32">
        <v>281</v>
      </c>
      <c r="S326" s="32">
        <v>124</v>
      </c>
      <c r="T326" s="32">
        <v>54</v>
      </c>
      <c r="U326" s="32">
        <v>158</v>
      </c>
      <c r="V326" s="32">
        <v>98</v>
      </c>
      <c r="W326" s="32">
        <v>51</v>
      </c>
      <c r="X326" s="32">
        <v>439</v>
      </c>
      <c r="Y326" s="32">
        <v>222</v>
      </c>
      <c r="Z326" s="32">
        <v>105</v>
      </c>
      <c r="AA326" s="32">
        <v>889</v>
      </c>
      <c r="AB326" s="32">
        <v>393</v>
      </c>
      <c r="AC326" s="32">
        <v>171</v>
      </c>
      <c r="AD326" s="32">
        <v>202</v>
      </c>
      <c r="AE326" s="32">
        <v>127</v>
      </c>
      <c r="AF326" s="32">
        <v>66</v>
      </c>
      <c r="AG326" s="32">
        <v>1091</v>
      </c>
      <c r="AH326" s="32">
        <v>520</v>
      </c>
      <c r="AI326" s="32">
        <v>237</v>
      </c>
      <c r="AJ326" s="32">
        <v>1091</v>
      </c>
      <c r="AK326" s="32">
        <v>3491</v>
      </c>
      <c r="AL326" s="32">
        <v>31.3</v>
      </c>
    </row>
    <row r="327" spans="1:38" ht="13.5" hidden="1" customHeight="1">
      <c r="A327" s="30" t="s">
        <v>2272</v>
      </c>
      <c r="B327" s="30" t="s">
        <v>2273</v>
      </c>
      <c r="C327" s="30" t="s">
        <v>235</v>
      </c>
      <c r="D327" s="30" t="s">
        <v>2012</v>
      </c>
      <c r="E327" s="30" t="s">
        <v>2028</v>
      </c>
      <c r="F327" s="30" t="s">
        <v>2029</v>
      </c>
      <c r="G327" s="30"/>
      <c r="H327" s="30" t="s">
        <v>2465</v>
      </c>
      <c r="I327" s="30" t="s">
        <v>2015</v>
      </c>
      <c r="J327" s="30" t="s">
        <v>2015</v>
      </c>
      <c r="K327" s="30" t="s">
        <v>2018</v>
      </c>
      <c r="L327" s="30" t="s">
        <v>2017</v>
      </c>
      <c r="M327" s="30" t="s">
        <v>2018</v>
      </c>
      <c r="N327" s="30" t="s">
        <v>2018</v>
      </c>
      <c r="O327" s="30" t="s">
        <v>2015</v>
      </c>
      <c r="P327" s="32">
        <v>31</v>
      </c>
      <c r="Q327" s="32">
        <v>20</v>
      </c>
      <c r="R327" s="32">
        <v>7</v>
      </c>
      <c r="S327" s="32">
        <v>6</v>
      </c>
      <c r="T327" s="32">
        <v>3</v>
      </c>
      <c r="U327" s="32">
        <v>5</v>
      </c>
      <c r="V327" s="32">
        <v>2</v>
      </c>
      <c r="W327" s="32">
        <v>2</v>
      </c>
      <c r="X327" s="32">
        <v>12</v>
      </c>
      <c r="Y327" s="32">
        <v>8</v>
      </c>
      <c r="Z327" s="32">
        <v>5</v>
      </c>
      <c r="AA327" s="32">
        <v>21</v>
      </c>
      <c r="AB327" s="32">
        <v>18</v>
      </c>
      <c r="AC327" s="32">
        <v>9</v>
      </c>
      <c r="AD327" s="32">
        <v>5</v>
      </c>
      <c r="AE327" s="32">
        <v>2</v>
      </c>
      <c r="AF327" s="32">
        <v>2</v>
      </c>
      <c r="AG327" s="32">
        <v>26</v>
      </c>
      <c r="AH327" s="32">
        <v>20</v>
      </c>
      <c r="AI327" s="32">
        <v>11</v>
      </c>
      <c r="AJ327" s="32">
        <v>26</v>
      </c>
      <c r="AK327" s="32">
        <v>41</v>
      </c>
      <c r="AL327" s="32">
        <v>63.4</v>
      </c>
    </row>
    <row r="328" spans="1:38" ht="13.5" hidden="1" customHeight="1">
      <c r="A328" s="30" t="s">
        <v>2272</v>
      </c>
      <c r="B328" s="30" t="s">
        <v>2273</v>
      </c>
      <c r="C328" s="30" t="s">
        <v>235</v>
      </c>
      <c r="D328" s="30" t="s">
        <v>2012</v>
      </c>
      <c r="E328" s="30" t="s">
        <v>2028</v>
      </c>
      <c r="F328" s="30" t="s">
        <v>2029</v>
      </c>
      <c r="G328" s="30"/>
      <c r="H328" s="30" t="s">
        <v>2466</v>
      </c>
      <c r="I328" s="30" t="s">
        <v>2015</v>
      </c>
      <c r="J328" s="30" t="s">
        <v>2015</v>
      </c>
      <c r="K328" s="30" t="s">
        <v>2018</v>
      </c>
      <c r="L328" s="30" t="s">
        <v>2017</v>
      </c>
      <c r="M328" s="30" t="s">
        <v>2018</v>
      </c>
      <c r="N328" s="30" t="s">
        <v>2018</v>
      </c>
      <c r="O328" s="30" t="s">
        <v>2015</v>
      </c>
      <c r="P328" s="32">
        <v>4047</v>
      </c>
      <c r="Q328" s="32">
        <v>1838</v>
      </c>
      <c r="R328" s="32">
        <v>459</v>
      </c>
      <c r="S328" s="32">
        <v>223</v>
      </c>
      <c r="T328" s="32">
        <v>90</v>
      </c>
      <c r="U328" s="32">
        <v>211</v>
      </c>
      <c r="V328" s="32">
        <v>136</v>
      </c>
      <c r="W328" s="32">
        <v>79</v>
      </c>
      <c r="X328" s="32">
        <v>670</v>
      </c>
      <c r="Y328" s="32">
        <v>359</v>
      </c>
      <c r="Z328" s="32">
        <v>169</v>
      </c>
      <c r="AA328" s="32">
        <v>1423</v>
      </c>
      <c r="AB328" s="32">
        <v>697</v>
      </c>
      <c r="AC328" s="32">
        <v>284</v>
      </c>
      <c r="AD328" s="32">
        <v>277</v>
      </c>
      <c r="AE328" s="32">
        <v>180</v>
      </c>
      <c r="AF328" s="32">
        <v>106</v>
      </c>
      <c r="AG328" s="32">
        <v>1700</v>
      </c>
      <c r="AH328" s="32">
        <v>877</v>
      </c>
      <c r="AI328" s="32">
        <v>390</v>
      </c>
      <c r="AJ328" s="32">
        <v>1700</v>
      </c>
      <c r="AK328" s="32">
        <v>4023</v>
      </c>
      <c r="AL328" s="32">
        <v>42.3</v>
      </c>
    </row>
    <row r="329" spans="1:38" ht="13.5" hidden="1" customHeight="1">
      <c r="A329" s="30" t="s">
        <v>2272</v>
      </c>
      <c r="B329" s="30" t="s">
        <v>2273</v>
      </c>
      <c r="C329" s="30" t="s">
        <v>235</v>
      </c>
      <c r="D329" s="30" t="s">
        <v>2012</v>
      </c>
      <c r="E329" s="30" t="s">
        <v>2028</v>
      </c>
      <c r="F329" s="30" t="s">
        <v>2029</v>
      </c>
      <c r="G329" s="30"/>
      <c r="H329" s="30" t="s">
        <v>2467</v>
      </c>
      <c r="I329" s="30" t="s">
        <v>2015</v>
      </c>
      <c r="J329" s="30" t="s">
        <v>2015</v>
      </c>
      <c r="K329" s="30" t="s">
        <v>2018</v>
      </c>
      <c r="L329" s="30" t="s">
        <v>2017</v>
      </c>
      <c r="M329" s="30" t="s">
        <v>2018</v>
      </c>
      <c r="N329" s="30" t="s">
        <v>2018</v>
      </c>
      <c r="O329" s="30" t="s">
        <v>2015</v>
      </c>
      <c r="P329" s="32">
        <v>527</v>
      </c>
      <c r="Q329" s="32">
        <v>367</v>
      </c>
      <c r="R329" s="32">
        <v>41</v>
      </c>
      <c r="S329" s="32">
        <v>23</v>
      </c>
      <c r="T329" s="32">
        <v>8</v>
      </c>
      <c r="U329" s="32">
        <v>43</v>
      </c>
      <c r="V329" s="32">
        <v>39</v>
      </c>
      <c r="W329" s="32">
        <v>28</v>
      </c>
      <c r="X329" s="32">
        <v>84</v>
      </c>
      <c r="Y329" s="32">
        <v>62</v>
      </c>
      <c r="Z329" s="32">
        <v>36</v>
      </c>
      <c r="AA329" s="32">
        <v>123</v>
      </c>
      <c r="AB329" s="32">
        <v>69</v>
      </c>
      <c r="AC329" s="32">
        <v>24</v>
      </c>
      <c r="AD329" s="32">
        <v>47</v>
      </c>
      <c r="AE329" s="32">
        <v>43</v>
      </c>
      <c r="AF329" s="32">
        <v>31</v>
      </c>
      <c r="AG329" s="32">
        <v>170</v>
      </c>
      <c r="AH329" s="32">
        <v>112</v>
      </c>
      <c r="AI329" s="32">
        <v>55</v>
      </c>
      <c r="AJ329" s="32">
        <v>170</v>
      </c>
      <c r="AK329" s="32">
        <v>529</v>
      </c>
      <c r="AL329" s="32">
        <v>32.1</v>
      </c>
    </row>
    <row r="330" spans="1:38" ht="13.5" hidden="1" customHeight="1">
      <c r="A330" s="30" t="s">
        <v>2272</v>
      </c>
      <c r="B330" s="30" t="s">
        <v>2273</v>
      </c>
      <c r="C330" s="30" t="s">
        <v>235</v>
      </c>
      <c r="D330" s="30" t="s">
        <v>2012</v>
      </c>
      <c r="E330" s="30" t="s">
        <v>2028</v>
      </c>
      <c r="F330" s="30" t="s">
        <v>2029</v>
      </c>
      <c r="G330" s="30"/>
      <c r="H330" s="30" t="s">
        <v>2251</v>
      </c>
      <c r="I330" s="30" t="s">
        <v>2015</v>
      </c>
      <c r="J330" s="30" t="s">
        <v>2015</v>
      </c>
      <c r="K330" s="30" t="s">
        <v>2018</v>
      </c>
      <c r="L330" s="30" t="s">
        <v>2017</v>
      </c>
      <c r="M330" s="30" t="s">
        <v>2018</v>
      </c>
      <c r="N330" s="30" t="s">
        <v>2018</v>
      </c>
      <c r="O330" s="30" t="s">
        <v>2015</v>
      </c>
      <c r="P330" s="32">
        <v>15605</v>
      </c>
      <c r="Q330" s="32">
        <v>6819</v>
      </c>
      <c r="R330" s="32">
        <v>1465</v>
      </c>
      <c r="S330" s="32">
        <v>805</v>
      </c>
      <c r="T330" s="32">
        <v>449</v>
      </c>
      <c r="U330" s="32">
        <v>1985</v>
      </c>
      <c r="V330" s="32">
        <v>1374</v>
      </c>
      <c r="W330" s="32">
        <v>841</v>
      </c>
      <c r="X330" s="32">
        <v>3450</v>
      </c>
      <c r="Y330" s="32">
        <v>2179</v>
      </c>
      <c r="Z330" s="32">
        <v>1290</v>
      </c>
      <c r="AA330" s="32">
        <v>4244</v>
      </c>
      <c r="AB330" s="32">
        <v>2363</v>
      </c>
      <c r="AC330" s="32">
        <v>1315</v>
      </c>
      <c r="AD330" s="32">
        <v>2358</v>
      </c>
      <c r="AE330" s="32">
        <v>1614</v>
      </c>
      <c r="AF330" s="32">
        <v>978</v>
      </c>
      <c r="AG330" s="32">
        <v>6602</v>
      </c>
      <c r="AH330" s="32">
        <v>3977</v>
      </c>
      <c r="AI330" s="32">
        <v>2293</v>
      </c>
      <c r="AJ330" s="32">
        <v>6602</v>
      </c>
      <c r="AK330" s="32">
        <v>13265</v>
      </c>
      <c r="AL330" s="32">
        <v>49.8</v>
      </c>
    </row>
    <row r="331" spans="1:38" ht="13.5" hidden="1" customHeight="1">
      <c r="A331" s="30" t="s">
        <v>2272</v>
      </c>
      <c r="B331" s="30" t="s">
        <v>2273</v>
      </c>
      <c r="C331" s="30" t="s">
        <v>235</v>
      </c>
      <c r="D331" s="30" t="s">
        <v>2012</v>
      </c>
      <c r="E331" s="30" t="s">
        <v>2028</v>
      </c>
      <c r="F331" s="30" t="s">
        <v>2029</v>
      </c>
      <c r="G331" s="30"/>
      <c r="H331" s="30" t="s">
        <v>2468</v>
      </c>
      <c r="I331" s="30" t="s">
        <v>2015</v>
      </c>
      <c r="J331" s="30" t="s">
        <v>2015</v>
      </c>
      <c r="K331" s="30" t="s">
        <v>2018</v>
      </c>
      <c r="L331" s="30" t="s">
        <v>2017</v>
      </c>
      <c r="M331" s="30" t="s">
        <v>2018</v>
      </c>
      <c r="N331" s="30" t="s">
        <v>2018</v>
      </c>
      <c r="O331" s="30" t="s">
        <v>2015</v>
      </c>
      <c r="P331" s="32">
        <v>1112</v>
      </c>
      <c r="Q331" s="32">
        <v>753</v>
      </c>
      <c r="R331" s="32">
        <v>76</v>
      </c>
      <c r="S331" s="32">
        <v>27</v>
      </c>
      <c r="T331" s="32">
        <v>10</v>
      </c>
      <c r="U331" s="32">
        <v>73</v>
      </c>
      <c r="V331" s="32">
        <v>43</v>
      </c>
      <c r="W331" s="32">
        <v>18</v>
      </c>
      <c r="X331" s="32">
        <v>149</v>
      </c>
      <c r="Y331" s="32">
        <v>70</v>
      </c>
      <c r="Z331" s="32">
        <v>28</v>
      </c>
      <c r="AA331" s="32">
        <v>220</v>
      </c>
      <c r="AB331" s="32">
        <v>78</v>
      </c>
      <c r="AC331" s="32">
        <v>29</v>
      </c>
      <c r="AD331" s="32">
        <v>88</v>
      </c>
      <c r="AE331" s="32">
        <v>52</v>
      </c>
      <c r="AF331" s="32">
        <v>22</v>
      </c>
      <c r="AG331" s="32">
        <v>308</v>
      </c>
      <c r="AH331" s="32">
        <v>130</v>
      </c>
      <c r="AI331" s="32">
        <v>51</v>
      </c>
      <c r="AJ331" s="32">
        <v>308</v>
      </c>
      <c r="AK331" s="32">
        <v>1112</v>
      </c>
      <c r="AL331" s="32">
        <v>27.7</v>
      </c>
    </row>
    <row r="332" spans="1:38" ht="13.5" hidden="1" customHeight="1">
      <c r="A332" s="30" t="s">
        <v>2272</v>
      </c>
      <c r="B332" s="30" t="s">
        <v>2273</v>
      </c>
      <c r="C332" s="30" t="s">
        <v>235</v>
      </c>
      <c r="D332" s="30" t="s">
        <v>2012</v>
      </c>
      <c r="E332" s="30" t="s">
        <v>2028</v>
      </c>
      <c r="F332" s="30" t="s">
        <v>2029</v>
      </c>
      <c r="G332" s="30"/>
      <c r="H332" s="30" t="s">
        <v>2469</v>
      </c>
      <c r="I332" s="30" t="s">
        <v>2015</v>
      </c>
      <c r="J332" s="30" t="s">
        <v>2015</v>
      </c>
      <c r="K332" s="30" t="s">
        <v>2018</v>
      </c>
      <c r="L332" s="30" t="s">
        <v>2017</v>
      </c>
      <c r="M332" s="30" t="s">
        <v>2018</v>
      </c>
      <c r="N332" s="30" t="s">
        <v>2018</v>
      </c>
      <c r="O332" s="30" t="s">
        <v>2015</v>
      </c>
      <c r="P332" s="32">
        <v>2902</v>
      </c>
      <c r="Q332" s="32">
        <v>1308</v>
      </c>
      <c r="R332" s="32">
        <v>189</v>
      </c>
      <c r="S332" s="32">
        <v>83</v>
      </c>
      <c r="T332" s="32">
        <v>38</v>
      </c>
      <c r="U332" s="32">
        <v>163</v>
      </c>
      <c r="V332" s="32">
        <v>103</v>
      </c>
      <c r="W332" s="32">
        <v>48</v>
      </c>
      <c r="X332" s="32">
        <v>352</v>
      </c>
      <c r="Y332" s="32">
        <v>186</v>
      </c>
      <c r="Z332" s="32">
        <v>86</v>
      </c>
      <c r="AA332" s="32">
        <v>590</v>
      </c>
      <c r="AB332" s="32">
        <v>261</v>
      </c>
      <c r="AC332" s="32">
        <v>121</v>
      </c>
      <c r="AD332" s="32">
        <v>231</v>
      </c>
      <c r="AE332" s="32">
        <v>146</v>
      </c>
      <c r="AF332" s="32">
        <v>68</v>
      </c>
      <c r="AG332" s="32">
        <v>821</v>
      </c>
      <c r="AH332" s="32">
        <v>407</v>
      </c>
      <c r="AI332" s="32">
        <v>189</v>
      </c>
      <c r="AJ332" s="32">
        <v>821</v>
      </c>
      <c r="AK332" s="32">
        <v>2936</v>
      </c>
      <c r="AL332" s="32">
        <v>28</v>
      </c>
    </row>
    <row r="333" spans="1:38" ht="13.5" hidden="1" customHeight="1">
      <c r="A333" s="30" t="s">
        <v>2272</v>
      </c>
      <c r="B333" s="30" t="s">
        <v>2273</v>
      </c>
      <c r="C333" s="30" t="s">
        <v>235</v>
      </c>
      <c r="D333" s="30" t="s">
        <v>2012</v>
      </c>
      <c r="E333" s="30" t="s">
        <v>2028</v>
      </c>
      <c r="F333" s="30" t="s">
        <v>2029</v>
      </c>
      <c r="G333" s="30"/>
      <c r="H333" s="30" t="s">
        <v>2470</v>
      </c>
      <c r="I333" s="30" t="s">
        <v>2015</v>
      </c>
      <c r="J333" s="30" t="s">
        <v>2015</v>
      </c>
      <c r="K333" s="30" t="s">
        <v>2018</v>
      </c>
      <c r="L333" s="30" t="s">
        <v>2017</v>
      </c>
      <c r="M333" s="30" t="s">
        <v>2018</v>
      </c>
      <c r="N333" s="30" t="s">
        <v>2018</v>
      </c>
      <c r="O333" s="30" t="s">
        <v>2015</v>
      </c>
      <c r="P333" s="32">
        <v>2204</v>
      </c>
      <c r="Q333" s="32">
        <v>952</v>
      </c>
      <c r="R333" s="32">
        <v>211</v>
      </c>
      <c r="S333" s="32">
        <v>98</v>
      </c>
      <c r="T333" s="32">
        <v>42</v>
      </c>
      <c r="U333" s="32">
        <v>116</v>
      </c>
      <c r="V333" s="32">
        <v>77</v>
      </c>
      <c r="W333" s="32">
        <v>31</v>
      </c>
      <c r="X333" s="32">
        <v>327</v>
      </c>
      <c r="Y333" s="32">
        <v>175</v>
      </c>
      <c r="Z333" s="32">
        <v>73</v>
      </c>
      <c r="AA333" s="32">
        <v>653</v>
      </c>
      <c r="AB333" s="32">
        <v>304</v>
      </c>
      <c r="AC333" s="32">
        <v>131</v>
      </c>
      <c r="AD333" s="32">
        <v>149</v>
      </c>
      <c r="AE333" s="32">
        <v>99</v>
      </c>
      <c r="AF333" s="32">
        <v>40</v>
      </c>
      <c r="AG333" s="32">
        <v>802</v>
      </c>
      <c r="AH333" s="32">
        <v>403</v>
      </c>
      <c r="AI333" s="32">
        <v>171</v>
      </c>
      <c r="AJ333" s="32">
        <v>802</v>
      </c>
      <c r="AK333" s="32">
        <v>2204</v>
      </c>
      <c r="AL333" s="32">
        <v>36.4</v>
      </c>
    </row>
    <row r="334" spans="1:38" ht="13.5" hidden="1" customHeight="1">
      <c r="A334" s="30" t="s">
        <v>2272</v>
      </c>
      <c r="B334" s="30" t="s">
        <v>2273</v>
      </c>
      <c r="C334" s="30" t="s">
        <v>235</v>
      </c>
      <c r="D334" s="30" t="s">
        <v>2012</v>
      </c>
      <c r="E334" s="30" t="s">
        <v>2028</v>
      </c>
      <c r="F334" s="30" t="s">
        <v>2029</v>
      </c>
      <c r="G334" s="30"/>
      <c r="H334" s="30" t="s">
        <v>2471</v>
      </c>
      <c r="I334" s="30" t="s">
        <v>2015</v>
      </c>
      <c r="J334" s="30" t="s">
        <v>2015</v>
      </c>
      <c r="K334" s="30" t="s">
        <v>2018</v>
      </c>
      <c r="L334" s="30" t="s">
        <v>2017</v>
      </c>
      <c r="M334" s="30" t="s">
        <v>2018</v>
      </c>
      <c r="N334" s="30" t="s">
        <v>2018</v>
      </c>
      <c r="O334" s="30" t="s">
        <v>2015</v>
      </c>
      <c r="P334" s="32">
        <v>7743</v>
      </c>
      <c r="Q334" s="32">
        <v>3591</v>
      </c>
      <c r="R334" s="32">
        <v>656</v>
      </c>
      <c r="S334" s="32">
        <v>302</v>
      </c>
      <c r="T334" s="32">
        <v>102</v>
      </c>
      <c r="U334" s="32">
        <v>671</v>
      </c>
      <c r="V334" s="32">
        <v>498</v>
      </c>
      <c r="W334" s="32">
        <v>256</v>
      </c>
      <c r="X334" s="32">
        <v>1327</v>
      </c>
      <c r="Y334" s="32">
        <v>800</v>
      </c>
      <c r="Z334" s="32">
        <v>358</v>
      </c>
      <c r="AA334" s="32">
        <v>1915</v>
      </c>
      <c r="AB334" s="32">
        <v>893</v>
      </c>
      <c r="AC334" s="32">
        <v>311</v>
      </c>
      <c r="AD334" s="32">
        <v>836</v>
      </c>
      <c r="AE334" s="32">
        <v>623</v>
      </c>
      <c r="AF334" s="32">
        <v>322</v>
      </c>
      <c r="AG334" s="32">
        <v>2751</v>
      </c>
      <c r="AH334" s="32">
        <v>1516</v>
      </c>
      <c r="AI334" s="32">
        <v>633</v>
      </c>
      <c r="AJ334" s="32">
        <v>2751</v>
      </c>
      <c r="AK334" s="32">
        <v>7694</v>
      </c>
      <c r="AL334" s="32">
        <v>35.799999999999997</v>
      </c>
    </row>
    <row r="335" spans="1:38" ht="13.5" hidden="1" customHeight="1">
      <c r="A335" s="30" t="s">
        <v>2272</v>
      </c>
      <c r="B335" s="30" t="s">
        <v>2273</v>
      </c>
      <c r="C335" s="30" t="s">
        <v>235</v>
      </c>
      <c r="D335" s="30" t="s">
        <v>2012</v>
      </c>
      <c r="E335" s="30" t="s">
        <v>2028</v>
      </c>
      <c r="F335" s="30" t="s">
        <v>2029</v>
      </c>
      <c r="G335" s="30"/>
      <c r="H335" s="30" t="s">
        <v>2472</v>
      </c>
      <c r="I335" s="30" t="s">
        <v>2015</v>
      </c>
      <c r="J335" s="30" t="s">
        <v>2015</v>
      </c>
      <c r="K335" s="30" t="s">
        <v>2018</v>
      </c>
      <c r="L335" s="30" t="s">
        <v>2017</v>
      </c>
      <c r="M335" s="30" t="s">
        <v>2018</v>
      </c>
      <c r="N335" s="30" t="s">
        <v>2018</v>
      </c>
      <c r="O335" s="30" t="s">
        <v>2015</v>
      </c>
      <c r="P335" s="32">
        <v>6232</v>
      </c>
      <c r="Q335" s="32">
        <v>3053</v>
      </c>
      <c r="R335" s="32">
        <v>471</v>
      </c>
      <c r="S335" s="32">
        <v>240</v>
      </c>
      <c r="T335" s="32">
        <v>156</v>
      </c>
      <c r="U335" s="32">
        <v>423</v>
      </c>
      <c r="V335" s="32">
        <v>284</v>
      </c>
      <c r="W335" s="32">
        <v>157</v>
      </c>
      <c r="X335" s="32">
        <v>894</v>
      </c>
      <c r="Y335" s="32">
        <v>524</v>
      </c>
      <c r="Z335" s="32">
        <v>313</v>
      </c>
      <c r="AA335" s="32">
        <v>1376</v>
      </c>
      <c r="AB335" s="32">
        <v>701</v>
      </c>
      <c r="AC335" s="32">
        <v>457</v>
      </c>
      <c r="AD335" s="32">
        <v>510</v>
      </c>
      <c r="AE335" s="32">
        <v>338</v>
      </c>
      <c r="AF335" s="32">
        <v>182</v>
      </c>
      <c r="AG335" s="32">
        <v>1886</v>
      </c>
      <c r="AH335" s="32">
        <v>1039</v>
      </c>
      <c r="AI335" s="32">
        <v>639</v>
      </c>
      <c r="AJ335" s="32">
        <v>1886</v>
      </c>
      <c r="AK335" s="32">
        <v>6028</v>
      </c>
      <c r="AL335" s="32">
        <v>31.3</v>
      </c>
    </row>
    <row r="336" spans="1:38" ht="13.5" hidden="1" customHeight="1">
      <c r="A336" s="30" t="s">
        <v>2272</v>
      </c>
      <c r="B336" s="30" t="s">
        <v>2273</v>
      </c>
      <c r="C336" s="30" t="s">
        <v>235</v>
      </c>
      <c r="D336" s="30" t="s">
        <v>2012</v>
      </c>
      <c r="E336" s="30" t="s">
        <v>2030</v>
      </c>
      <c r="F336" s="30" t="s">
        <v>2031</v>
      </c>
      <c r="G336" s="30"/>
      <c r="H336" s="30" t="s">
        <v>2473</v>
      </c>
      <c r="I336" s="30" t="s">
        <v>2015</v>
      </c>
      <c r="J336" s="30" t="s">
        <v>2015</v>
      </c>
      <c r="K336" s="30" t="s">
        <v>2018</v>
      </c>
      <c r="L336" s="30" t="s">
        <v>2017</v>
      </c>
      <c r="M336" s="30" t="s">
        <v>2018</v>
      </c>
      <c r="N336" s="30" t="s">
        <v>2018</v>
      </c>
      <c r="O336" s="30" t="s">
        <v>2015</v>
      </c>
      <c r="P336" s="32">
        <v>1271</v>
      </c>
      <c r="Q336" s="32">
        <v>547</v>
      </c>
      <c r="R336" s="32">
        <v>140</v>
      </c>
      <c r="S336" s="32">
        <v>68</v>
      </c>
      <c r="T336" s="32">
        <v>22</v>
      </c>
      <c r="U336" s="32">
        <v>77</v>
      </c>
      <c r="V336" s="32">
        <v>43</v>
      </c>
      <c r="W336" s="32">
        <v>21</v>
      </c>
      <c r="X336" s="32">
        <v>217</v>
      </c>
      <c r="Y336" s="32">
        <v>111</v>
      </c>
      <c r="Z336" s="32">
        <v>43</v>
      </c>
      <c r="AA336" s="32">
        <v>448</v>
      </c>
      <c r="AB336" s="32">
        <v>218</v>
      </c>
      <c r="AC336" s="32">
        <v>70</v>
      </c>
      <c r="AD336" s="32">
        <v>100</v>
      </c>
      <c r="AE336" s="32">
        <v>56</v>
      </c>
      <c r="AF336" s="32">
        <v>27</v>
      </c>
      <c r="AG336" s="32">
        <v>548</v>
      </c>
      <c r="AH336" s="32">
        <v>274</v>
      </c>
      <c r="AI336" s="32">
        <v>97</v>
      </c>
      <c r="AJ336" s="32">
        <v>548</v>
      </c>
      <c r="AK336" s="32">
        <v>1271</v>
      </c>
      <c r="AL336" s="32">
        <v>43.1</v>
      </c>
    </row>
    <row r="337" spans="1:38" ht="13.5" hidden="1" customHeight="1">
      <c r="A337" s="30" t="s">
        <v>2272</v>
      </c>
      <c r="B337" s="30" t="s">
        <v>2273</v>
      </c>
      <c r="C337" s="30" t="s">
        <v>235</v>
      </c>
      <c r="D337" s="30" t="s">
        <v>2012</v>
      </c>
      <c r="E337" s="30" t="s">
        <v>2030</v>
      </c>
      <c r="F337" s="30" t="s">
        <v>2031</v>
      </c>
      <c r="G337" s="30"/>
      <c r="H337" s="30" t="s">
        <v>2474</v>
      </c>
      <c r="I337" s="30" t="s">
        <v>2015</v>
      </c>
      <c r="J337" s="30" t="s">
        <v>2015</v>
      </c>
      <c r="K337" s="30" t="s">
        <v>2018</v>
      </c>
      <c r="L337" s="30" t="s">
        <v>2017</v>
      </c>
      <c r="M337" s="30" t="s">
        <v>2018</v>
      </c>
      <c r="N337" s="30" t="s">
        <v>2018</v>
      </c>
      <c r="O337" s="30" t="s">
        <v>2015</v>
      </c>
      <c r="P337" s="32">
        <v>5254</v>
      </c>
      <c r="Q337" s="32">
        <v>2883</v>
      </c>
      <c r="R337" s="32">
        <v>401</v>
      </c>
      <c r="S337" s="32">
        <v>187</v>
      </c>
      <c r="T337" s="32">
        <v>68</v>
      </c>
      <c r="U337" s="32">
        <v>530</v>
      </c>
      <c r="V337" s="32">
        <v>393</v>
      </c>
      <c r="W337" s="32">
        <v>191</v>
      </c>
      <c r="X337" s="32">
        <v>931</v>
      </c>
      <c r="Y337" s="32">
        <v>580</v>
      </c>
      <c r="Z337" s="32">
        <v>259</v>
      </c>
      <c r="AA337" s="32">
        <v>1116</v>
      </c>
      <c r="AB337" s="32">
        <v>519</v>
      </c>
      <c r="AC337" s="32">
        <v>185</v>
      </c>
      <c r="AD337" s="32">
        <v>605</v>
      </c>
      <c r="AE337" s="32">
        <v>451</v>
      </c>
      <c r="AF337" s="32">
        <v>216</v>
      </c>
      <c r="AG337" s="32">
        <v>1721</v>
      </c>
      <c r="AH337" s="32">
        <v>970</v>
      </c>
      <c r="AI337" s="32">
        <v>401</v>
      </c>
      <c r="AJ337" s="32">
        <v>1721</v>
      </c>
      <c r="AK337" s="32">
        <v>5046</v>
      </c>
      <c r="AL337" s="32">
        <v>34.1</v>
      </c>
    </row>
    <row r="338" spans="1:38" ht="13.5" hidden="1" customHeight="1">
      <c r="A338" s="30" t="s">
        <v>2272</v>
      </c>
      <c r="B338" s="30" t="s">
        <v>2273</v>
      </c>
      <c r="C338" s="30" t="s">
        <v>235</v>
      </c>
      <c r="D338" s="30" t="s">
        <v>2012</v>
      </c>
      <c r="E338" s="30" t="s">
        <v>2030</v>
      </c>
      <c r="F338" s="30" t="s">
        <v>2031</v>
      </c>
      <c r="G338" s="30"/>
      <c r="H338" s="30" t="s">
        <v>2475</v>
      </c>
      <c r="I338" s="30" t="s">
        <v>2015</v>
      </c>
      <c r="J338" s="30" t="s">
        <v>2015</v>
      </c>
      <c r="K338" s="30" t="s">
        <v>2018</v>
      </c>
      <c r="L338" s="30" t="s">
        <v>2017</v>
      </c>
      <c r="M338" s="30" t="s">
        <v>2018</v>
      </c>
      <c r="N338" s="30" t="s">
        <v>2018</v>
      </c>
      <c r="O338" s="30" t="s">
        <v>2015</v>
      </c>
      <c r="P338" s="32">
        <v>0</v>
      </c>
      <c r="Q338" s="32">
        <v>36</v>
      </c>
      <c r="R338" s="32">
        <v>0</v>
      </c>
      <c r="S338" s="32">
        <v>0</v>
      </c>
      <c r="T338" s="32">
        <v>0</v>
      </c>
      <c r="U338" s="32">
        <v>0</v>
      </c>
      <c r="V338" s="32">
        <v>0</v>
      </c>
      <c r="W338" s="32">
        <v>0</v>
      </c>
      <c r="X338" s="32">
        <v>0</v>
      </c>
      <c r="Y338" s="32">
        <v>0</v>
      </c>
      <c r="Z338" s="32">
        <v>0</v>
      </c>
      <c r="AA338" s="32">
        <v>0</v>
      </c>
      <c r="AB338" s="32">
        <v>0</v>
      </c>
      <c r="AC338" s="32">
        <v>0</v>
      </c>
      <c r="AD338" s="32">
        <v>0</v>
      </c>
      <c r="AE338" s="32">
        <v>0</v>
      </c>
      <c r="AF338" s="32">
        <v>0</v>
      </c>
      <c r="AG338" s="32">
        <v>0</v>
      </c>
      <c r="AH338" s="32">
        <v>0</v>
      </c>
      <c r="AI338" s="32">
        <v>0</v>
      </c>
      <c r="AJ338" s="32">
        <v>0</v>
      </c>
      <c r="AK338" s="32">
        <v>0</v>
      </c>
      <c r="AL338" s="32">
        <v>0</v>
      </c>
    </row>
    <row r="339" spans="1:38" ht="13.5" hidden="1" customHeight="1">
      <c r="A339" s="30" t="s">
        <v>2272</v>
      </c>
      <c r="B339" s="30" t="s">
        <v>2273</v>
      </c>
      <c r="C339" s="30" t="s">
        <v>235</v>
      </c>
      <c r="D339" s="30" t="s">
        <v>2012</v>
      </c>
      <c r="E339" s="30" t="s">
        <v>2030</v>
      </c>
      <c r="F339" s="30" t="s">
        <v>2031</v>
      </c>
      <c r="G339" s="30"/>
      <c r="H339" s="30" t="s">
        <v>2476</v>
      </c>
      <c r="I339" s="30" t="s">
        <v>2015</v>
      </c>
      <c r="J339" s="30" t="s">
        <v>2015</v>
      </c>
      <c r="K339" s="30" t="s">
        <v>2018</v>
      </c>
      <c r="L339" s="30" t="s">
        <v>2017</v>
      </c>
      <c r="M339" s="30" t="s">
        <v>2018</v>
      </c>
      <c r="N339" s="30" t="s">
        <v>2018</v>
      </c>
      <c r="O339" s="30" t="s">
        <v>2015</v>
      </c>
      <c r="P339" s="32">
        <v>1322</v>
      </c>
      <c r="Q339" s="32">
        <v>778</v>
      </c>
      <c r="R339" s="32">
        <v>117</v>
      </c>
      <c r="S339" s="32">
        <v>43</v>
      </c>
      <c r="T339" s="32">
        <v>22</v>
      </c>
      <c r="U339" s="32">
        <v>74</v>
      </c>
      <c r="V339" s="32">
        <v>52</v>
      </c>
      <c r="W339" s="32">
        <v>31</v>
      </c>
      <c r="X339" s="32">
        <v>191</v>
      </c>
      <c r="Y339" s="32">
        <v>95</v>
      </c>
      <c r="Z339" s="32">
        <v>53</v>
      </c>
      <c r="AA339" s="32">
        <v>339</v>
      </c>
      <c r="AB339" s="32">
        <v>125</v>
      </c>
      <c r="AC339" s="32">
        <v>64</v>
      </c>
      <c r="AD339" s="32">
        <v>96</v>
      </c>
      <c r="AE339" s="32">
        <v>68</v>
      </c>
      <c r="AF339" s="32">
        <v>40</v>
      </c>
      <c r="AG339" s="32">
        <v>435</v>
      </c>
      <c r="AH339" s="32">
        <v>193</v>
      </c>
      <c r="AI339" s="32">
        <v>104</v>
      </c>
      <c r="AJ339" s="32">
        <v>435</v>
      </c>
      <c r="AK339" s="32">
        <v>1311</v>
      </c>
      <c r="AL339" s="32">
        <v>33.200000000000003</v>
      </c>
    </row>
    <row r="340" spans="1:38" ht="13.5" hidden="1" customHeight="1">
      <c r="A340" s="30" t="s">
        <v>2272</v>
      </c>
      <c r="B340" s="30" t="s">
        <v>2273</v>
      </c>
      <c r="C340" s="30" t="s">
        <v>235</v>
      </c>
      <c r="D340" s="30" t="s">
        <v>2012</v>
      </c>
      <c r="E340" s="30" t="s">
        <v>2030</v>
      </c>
      <c r="F340" s="30" t="s">
        <v>2031</v>
      </c>
      <c r="G340" s="30"/>
      <c r="H340" s="30" t="s">
        <v>2477</v>
      </c>
      <c r="I340" s="30" t="s">
        <v>2015</v>
      </c>
      <c r="J340" s="30" t="s">
        <v>2015</v>
      </c>
      <c r="K340" s="30" t="s">
        <v>2018</v>
      </c>
      <c r="L340" s="30" t="s">
        <v>2017</v>
      </c>
      <c r="M340" s="30" t="s">
        <v>2018</v>
      </c>
      <c r="N340" s="30" t="s">
        <v>2018</v>
      </c>
      <c r="O340" s="30" t="s">
        <v>2015</v>
      </c>
      <c r="P340" s="32">
        <v>1204</v>
      </c>
      <c r="Q340" s="32">
        <v>849</v>
      </c>
      <c r="R340" s="32">
        <v>116</v>
      </c>
      <c r="S340" s="32">
        <v>50</v>
      </c>
      <c r="T340" s="32">
        <v>29</v>
      </c>
      <c r="U340" s="32">
        <v>76</v>
      </c>
      <c r="V340" s="32">
        <v>54</v>
      </c>
      <c r="W340" s="32">
        <v>38</v>
      </c>
      <c r="X340" s="32">
        <v>192</v>
      </c>
      <c r="Y340" s="32">
        <v>104</v>
      </c>
      <c r="Z340" s="32">
        <v>67</v>
      </c>
      <c r="AA340" s="32">
        <v>330</v>
      </c>
      <c r="AB340" s="32">
        <v>143</v>
      </c>
      <c r="AC340" s="32">
        <v>84</v>
      </c>
      <c r="AD340" s="32">
        <v>99</v>
      </c>
      <c r="AE340" s="32">
        <v>70</v>
      </c>
      <c r="AF340" s="32">
        <v>50</v>
      </c>
      <c r="AG340" s="32">
        <v>429</v>
      </c>
      <c r="AH340" s="32">
        <v>213</v>
      </c>
      <c r="AI340" s="32">
        <v>134</v>
      </c>
      <c r="AJ340" s="32">
        <v>429</v>
      </c>
      <c r="AK340" s="32">
        <v>1204</v>
      </c>
      <c r="AL340" s="32">
        <v>35.6</v>
      </c>
    </row>
    <row r="341" spans="1:38" ht="13.5" hidden="1" customHeight="1">
      <c r="A341" s="30" t="s">
        <v>2272</v>
      </c>
      <c r="B341" s="30" t="s">
        <v>2273</v>
      </c>
      <c r="C341" s="30" t="s">
        <v>235</v>
      </c>
      <c r="D341" s="30" t="s">
        <v>2012</v>
      </c>
      <c r="E341" s="30" t="s">
        <v>2030</v>
      </c>
      <c r="F341" s="30" t="s">
        <v>2031</v>
      </c>
      <c r="G341" s="30"/>
      <c r="H341" s="30" t="s">
        <v>2478</v>
      </c>
      <c r="I341" s="30" t="s">
        <v>2015</v>
      </c>
      <c r="J341" s="30" t="s">
        <v>2015</v>
      </c>
      <c r="K341" s="30" t="s">
        <v>2018</v>
      </c>
      <c r="L341" s="30" t="s">
        <v>2017</v>
      </c>
      <c r="M341" s="30" t="s">
        <v>2018</v>
      </c>
      <c r="N341" s="30" t="s">
        <v>2018</v>
      </c>
      <c r="O341" s="30" t="s">
        <v>2015</v>
      </c>
      <c r="P341" s="32">
        <v>1310</v>
      </c>
      <c r="Q341" s="32">
        <v>687</v>
      </c>
      <c r="R341" s="32">
        <v>103</v>
      </c>
      <c r="S341" s="32">
        <v>39</v>
      </c>
      <c r="T341" s="32">
        <v>17</v>
      </c>
      <c r="U341" s="32">
        <v>61</v>
      </c>
      <c r="V341" s="32">
        <v>35</v>
      </c>
      <c r="W341" s="32">
        <v>21</v>
      </c>
      <c r="X341" s="32">
        <v>164</v>
      </c>
      <c r="Y341" s="32">
        <v>74</v>
      </c>
      <c r="Z341" s="32">
        <v>38</v>
      </c>
      <c r="AA341" s="32">
        <v>309</v>
      </c>
      <c r="AB341" s="32">
        <v>117</v>
      </c>
      <c r="AC341" s="32">
        <v>51</v>
      </c>
      <c r="AD341" s="32">
        <v>73</v>
      </c>
      <c r="AE341" s="32">
        <v>42</v>
      </c>
      <c r="AF341" s="32">
        <v>25</v>
      </c>
      <c r="AG341" s="32">
        <v>382</v>
      </c>
      <c r="AH341" s="32">
        <v>159</v>
      </c>
      <c r="AI341" s="32">
        <v>76</v>
      </c>
      <c r="AJ341" s="32">
        <v>382</v>
      </c>
      <c r="AK341" s="32">
        <v>1301</v>
      </c>
      <c r="AL341" s="32">
        <v>29.4</v>
      </c>
    </row>
    <row r="342" spans="1:38" ht="13.5" hidden="1" customHeight="1">
      <c r="A342" s="30" t="s">
        <v>2272</v>
      </c>
      <c r="B342" s="30" t="s">
        <v>2273</v>
      </c>
      <c r="C342" s="30" t="s">
        <v>235</v>
      </c>
      <c r="D342" s="30" t="s">
        <v>2012</v>
      </c>
      <c r="E342" s="30" t="s">
        <v>2030</v>
      </c>
      <c r="F342" s="30" t="s">
        <v>2031</v>
      </c>
      <c r="G342" s="30"/>
      <c r="H342" s="30" t="s">
        <v>2479</v>
      </c>
      <c r="I342" s="30" t="s">
        <v>2015</v>
      </c>
      <c r="J342" s="30" t="s">
        <v>2015</v>
      </c>
      <c r="K342" s="30" t="s">
        <v>2018</v>
      </c>
      <c r="L342" s="30" t="s">
        <v>2017</v>
      </c>
      <c r="M342" s="30" t="s">
        <v>2018</v>
      </c>
      <c r="N342" s="30" t="s">
        <v>2018</v>
      </c>
      <c r="O342" s="30" t="s">
        <v>2015</v>
      </c>
      <c r="P342" s="32">
        <v>79</v>
      </c>
      <c r="Q342" s="32">
        <v>164</v>
      </c>
      <c r="R342" s="32">
        <v>11</v>
      </c>
      <c r="S342" s="32">
        <v>3</v>
      </c>
      <c r="T342" s="32">
        <v>0</v>
      </c>
      <c r="U342" s="32">
        <v>14</v>
      </c>
      <c r="V342" s="32">
        <v>11</v>
      </c>
      <c r="W342" s="32">
        <v>8</v>
      </c>
      <c r="X342" s="32">
        <v>25</v>
      </c>
      <c r="Y342" s="32">
        <v>14</v>
      </c>
      <c r="Z342" s="32">
        <v>8</v>
      </c>
      <c r="AA342" s="32">
        <v>34</v>
      </c>
      <c r="AB342" s="32">
        <v>9</v>
      </c>
      <c r="AC342" s="32">
        <v>0</v>
      </c>
      <c r="AD342" s="32">
        <v>20</v>
      </c>
      <c r="AE342" s="32">
        <v>15</v>
      </c>
      <c r="AF342" s="32">
        <v>11</v>
      </c>
      <c r="AG342" s="32">
        <v>54</v>
      </c>
      <c r="AH342" s="32">
        <v>24</v>
      </c>
      <c r="AI342" s="32">
        <v>11</v>
      </c>
      <c r="AJ342" s="32">
        <v>54</v>
      </c>
      <c r="AK342" s="32">
        <v>81</v>
      </c>
      <c r="AL342" s="32">
        <v>66.7</v>
      </c>
    </row>
    <row r="343" spans="1:38" ht="13.5" hidden="1" customHeight="1">
      <c r="A343" s="30" t="s">
        <v>2272</v>
      </c>
      <c r="B343" s="30" t="s">
        <v>2273</v>
      </c>
      <c r="C343" s="30" t="s">
        <v>235</v>
      </c>
      <c r="D343" s="30" t="s">
        <v>2012</v>
      </c>
      <c r="E343" s="30" t="s">
        <v>2030</v>
      </c>
      <c r="F343" s="30" t="s">
        <v>2031</v>
      </c>
      <c r="G343" s="30"/>
      <c r="H343" s="30" t="s">
        <v>2480</v>
      </c>
      <c r="I343" s="30" t="s">
        <v>2015</v>
      </c>
      <c r="J343" s="30" t="s">
        <v>2015</v>
      </c>
      <c r="K343" s="30" t="s">
        <v>2018</v>
      </c>
      <c r="L343" s="30" t="s">
        <v>2017</v>
      </c>
      <c r="M343" s="30" t="s">
        <v>2018</v>
      </c>
      <c r="N343" s="30" t="s">
        <v>2018</v>
      </c>
      <c r="O343" s="30" t="s">
        <v>2015</v>
      </c>
      <c r="P343" s="32">
        <v>51</v>
      </c>
      <c r="Q343" s="32">
        <v>135</v>
      </c>
      <c r="R343" s="32">
        <v>5</v>
      </c>
      <c r="S343" s="32">
        <v>0</v>
      </c>
      <c r="T343" s="32">
        <v>0</v>
      </c>
      <c r="U343" s="32">
        <v>8</v>
      </c>
      <c r="V343" s="32">
        <v>6</v>
      </c>
      <c r="W343" s="32">
        <v>6</v>
      </c>
      <c r="X343" s="32">
        <v>13</v>
      </c>
      <c r="Y343" s="32">
        <v>6</v>
      </c>
      <c r="Z343" s="32">
        <v>6</v>
      </c>
      <c r="AA343" s="32">
        <v>15</v>
      </c>
      <c r="AB343" s="32">
        <v>0</v>
      </c>
      <c r="AC343" s="32">
        <v>0</v>
      </c>
      <c r="AD343" s="32">
        <v>9</v>
      </c>
      <c r="AE343" s="32">
        <v>7</v>
      </c>
      <c r="AF343" s="32">
        <v>7</v>
      </c>
      <c r="AG343" s="32">
        <v>24</v>
      </c>
      <c r="AH343" s="32">
        <v>7</v>
      </c>
      <c r="AI343" s="32">
        <v>7</v>
      </c>
      <c r="AJ343" s="32">
        <v>24</v>
      </c>
      <c r="AK343" s="32">
        <v>51</v>
      </c>
      <c r="AL343" s="32">
        <v>47.1</v>
      </c>
    </row>
    <row r="344" spans="1:38" ht="13.5" hidden="1" customHeight="1">
      <c r="A344" s="30" t="s">
        <v>2272</v>
      </c>
      <c r="B344" s="30" t="s">
        <v>2273</v>
      </c>
      <c r="C344" s="30" t="s">
        <v>235</v>
      </c>
      <c r="D344" s="30" t="s">
        <v>2012</v>
      </c>
      <c r="E344" s="30" t="s">
        <v>2030</v>
      </c>
      <c r="F344" s="30" t="s">
        <v>2031</v>
      </c>
      <c r="G344" s="30"/>
      <c r="H344" s="30" t="s">
        <v>2481</v>
      </c>
      <c r="I344" s="30" t="s">
        <v>2015</v>
      </c>
      <c r="J344" s="30" t="s">
        <v>2015</v>
      </c>
      <c r="K344" s="30" t="s">
        <v>2018</v>
      </c>
      <c r="L344" s="30" t="s">
        <v>2017</v>
      </c>
      <c r="M344" s="30" t="s">
        <v>2018</v>
      </c>
      <c r="N344" s="30" t="s">
        <v>2018</v>
      </c>
      <c r="O344" s="30" t="s">
        <v>2015</v>
      </c>
      <c r="P344" s="32">
        <v>381</v>
      </c>
      <c r="Q344" s="32">
        <v>488</v>
      </c>
      <c r="R344" s="32">
        <v>30</v>
      </c>
      <c r="S344" s="32">
        <v>18</v>
      </c>
      <c r="T344" s="32">
        <v>6</v>
      </c>
      <c r="U344" s="32">
        <v>28</v>
      </c>
      <c r="V344" s="32">
        <v>20</v>
      </c>
      <c r="W344" s="32">
        <v>7</v>
      </c>
      <c r="X344" s="32">
        <v>58</v>
      </c>
      <c r="Y344" s="32">
        <v>38</v>
      </c>
      <c r="Z344" s="32">
        <v>13</v>
      </c>
      <c r="AA344" s="32">
        <v>87</v>
      </c>
      <c r="AB344" s="32">
        <v>52</v>
      </c>
      <c r="AC344" s="32">
        <v>17</v>
      </c>
      <c r="AD344" s="32">
        <v>36</v>
      </c>
      <c r="AE344" s="32">
        <v>26</v>
      </c>
      <c r="AF344" s="32">
        <v>9</v>
      </c>
      <c r="AG344" s="32">
        <v>123</v>
      </c>
      <c r="AH344" s="32">
        <v>78</v>
      </c>
      <c r="AI344" s="32">
        <v>26</v>
      </c>
      <c r="AJ344" s="32">
        <v>123</v>
      </c>
      <c r="AK344" s="32">
        <v>388</v>
      </c>
      <c r="AL344" s="32">
        <v>31.7</v>
      </c>
    </row>
    <row r="345" spans="1:38" ht="13.5" hidden="1" customHeight="1">
      <c r="A345" s="30" t="s">
        <v>2272</v>
      </c>
      <c r="B345" s="30" t="s">
        <v>2273</v>
      </c>
      <c r="C345" s="30" t="s">
        <v>235</v>
      </c>
      <c r="D345" s="30" t="s">
        <v>2012</v>
      </c>
      <c r="E345" s="30" t="s">
        <v>2030</v>
      </c>
      <c r="F345" s="30" t="s">
        <v>2031</v>
      </c>
      <c r="G345" s="30"/>
      <c r="H345" s="30" t="s">
        <v>2482</v>
      </c>
      <c r="I345" s="30" t="s">
        <v>2015</v>
      </c>
      <c r="J345" s="30" t="s">
        <v>2015</v>
      </c>
      <c r="K345" s="30" t="s">
        <v>2018</v>
      </c>
      <c r="L345" s="30" t="s">
        <v>2017</v>
      </c>
      <c r="M345" s="30" t="s">
        <v>2018</v>
      </c>
      <c r="N345" s="30" t="s">
        <v>2018</v>
      </c>
      <c r="O345" s="30" t="s">
        <v>2015</v>
      </c>
      <c r="P345" s="32">
        <v>1601</v>
      </c>
      <c r="Q345" s="32">
        <v>992</v>
      </c>
      <c r="R345" s="32">
        <v>103</v>
      </c>
      <c r="S345" s="32">
        <v>51</v>
      </c>
      <c r="T345" s="32">
        <v>17</v>
      </c>
      <c r="U345" s="32">
        <v>146</v>
      </c>
      <c r="V345" s="32">
        <v>80</v>
      </c>
      <c r="W345" s="32">
        <v>37</v>
      </c>
      <c r="X345" s="32">
        <v>249</v>
      </c>
      <c r="Y345" s="32">
        <v>131</v>
      </c>
      <c r="Z345" s="32">
        <v>54</v>
      </c>
      <c r="AA345" s="32">
        <v>276</v>
      </c>
      <c r="AB345" s="32">
        <v>137</v>
      </c>
      <c r="AC345" s="32">
        <v>45</v>
      </c>
      <c r="AD345" s="32">
        <v>181</v>
      </c>
      <c r="AE345" s="32">
        <v>98</v>
      </c>
      <c r="AF345" s="32">
        <v>46</v>
      </c>
      <c r="AG345" s="32">
        <v>457</v>
      </c>
      <c r="AH345" s="32">
        <v>235</v>
      </c>
      <c r="AI345" s="32">
        <v>91</v>
      </c>
      <c r="AJ345" s="32">
        <v>457</v>
      </c>
      <c r="AK345" s="32">
        <v>1587</v>
      </c>
      <c r="AL345" s="32">
        <v>28.8</v>
      </c>
    </row>
    <row r="346" spans="1:38" ht="13.5" hidden="1" customHeight="1">
      <c r="A346" s="30" t="s">
        <v>2272</v>
      </c>
      <c r="B346" s="30" t="s">
        <v>2273</v>
      </c>
      <c r="C346" s="30" t="s">
        <v>235</v>
      </c>
      <c r="D346" s="30" t="s">
        <v>2012</v>
      </c>
      <c r="E346" s="30" t="s">
        <v>2030</v>
      </c>
      <c r="F346" s="30" t="s">
        <v>2031</v>
      </c>
      <c r="G346" s="30"/>
      <c r="H346" s="30" t="s">
        <v>2217</v>
      </c>
      <c r="I346" s="30" t="s">
        <v>2015</v>
      </c>
      <c r="J346" s="30" t="s">
        <v>2015</v>
      </c>
      <c r="K346" s="30" t="s">
        <v>2018</v>
      </c>
      <c r="L346" s="30" t="s">
        <v>2017</v>
      </c>
      <c r="M346" s="30" t="s">
        <v>2018</v>
      </c>
      <c r="N346" s="30" t="s">
        <v>2018</v>
      </c>
      <c r="O346" s="30" t="s">
        <v>2015</v>
      </c>
      <c r="P346" s="32">
        <v>7609</v>
      </c>
      <c r="Q346" s="32">
        <v>3752</v>
      </c>
      <c r="R346" s="32">
        <v>841</v>
      </c>
      <c r="S346" s="32">
        <v>424</v>
      </c>
      <c r="T346" s="32">
        <v>183</v>
      </c>
      <c r="U346" s="32">
        <v>995</v>
      </c>
      <c r="V346" s="32">
        <v>759</v>
      </c>
      <c r="W346" s="32">
        <v>408</v>
      </c>
      <c r="X346" s="32">
        <v>1836</v>
      </c>
      <c r="Y346" s="32">
        <v>1183</v>
      </c>
      <c r="Z346" s="32">
        <v>591</v>
      </c>
      <c r="AA346" s="32">
        <v>2444</v>
      </c>
      <c r="AB346" s="32">
        <v>1239</v>
      </c>
      <c r="AC346" s="32">
        <v>545</v>
      </c>
      <c r="AD346" s="32">
        <v>1182</v>
      </c>
      <c r="AE346" s="32">
        <v>899</v>
      </c>
      <c r="AF346" s="32">
        <v>483</v>
      </c>
      <c r="AG346" s="32">
        <v>3626</v>
      </c>
      <c r="AH346" s="32">
        <v>2138</v>
      </c>
      <c r="AI346" s="32">
        <v>1028</v>
      </c>
      <c r="AJ346" s="32">
        <v>3626</v>
      </c>
      <c r="AK346" s="32">
        <v>7392</v>
      </c>
      <c r="AL346" s="32">
        <v>49.1</v>
      </c>
    </row>
    <row r="347" spans="1:38" ht="13.5" hidden="1" customHeight="1">
      <c r="A347" s="30" t="s">
        <v>2272</v>
      </c>
      <c r="B347" s="30" t="s">
        <v>2273</v>
      </c>
      <c r="C347" s="30" t="s">
        <v>235</v>
      </c>
      <c r="D347" s="30" t="s">
        <v>2012</v>
      </c>
      <c r="E347" s="30" t="s">
        <v>2030</v>
      </c>
      <c r="F347" s="30" t="s">
        <v>2031</v>
      </c>
      <c r="G347" s="30"/>
      <c r="H347" s="30" t="s">
        <v>2483</v>
      </c>
      <c r="I347" s="30" t="s">
        <v>2015</v>
      </c>
      <c r="J347" s="30" t="s">
        <v>2015</v>
      </c>
      <c r="K347" s="30" t="s">
        <v>2018</v>
      </c>
      <c r="L347" s="30" t="s">
        <v>2017</v>
      </c>
      <c r="M347" s="30" t="s">
        <v>2018</v>
      </c>
      <c r="N347" s="30" t="s">
        <v>2018</v>
      </c>
      <c r="O347" s="30" t="s">
        <v>2015</v>
      </c>
      <c r="P347" s="32">
        <v>3209</v>
      </c>
      <c r="Q347" s="32">
        <v>1677</v>
      </c>
      <c r="R347" s="32">
        <v>207</v>
      </c>
      <c r="S347" s="32">
        <v>82</v>
      </c>
      <c r="T347" s="32">
        <v>29</v>
      </c>
      <c r="U347" s="32">
        <v>181</v>
      </c>
      <c r="V347" s="32">
        <v>107</v>
      </c>
      <c r="W347" s="32">
        <v>59</v>
      </c>
      <c r="X347" s="32">
        <v>388</v>
      </c>
      <c r="Y347" s="32">
        <v>189</v>
      </c>
      <c r="Z347" s="32">
        <v>88</v>
      </c>
      <c r="AA347" s="32">
        <v>586</v>
      </c>
      <c r="AB347" s="32">
        <v>233</v>
      </c>
      <c r="AC347" s="32">
        <v>82</v>
      </c>
      <c r="AD347" s="32">
        <v>219</v>
      </c>
      <c r="AE347" s="32">
        <v>131</v>
      </c>
      <c r="AF347" s="32">
        <v>72</v>
      </c>
      <c r="AG347" s="32">
        <v>805</v>
      </c>
      <c r="AH347" s="32">
        <v>364</v>
      </c>
      <c r="AI347" s="32">
        <v>154</v>
      </c>
      <c r="AJ347" s="32">
        <v>805</v>
      </c>
      <c r="AK347" s="32">
        <v>3204</v>
      </c>
      <c r="AL347" s="32">
        <v>25.1</v>
      </c>
    </row>
    <row r="348" spans="1:38" ht="13.5" hidden="1" customHeight="1">
      <c r="A348" s="30" t="s">
        <v>2272</v>
      </c>
      <c r="B348" s="30" t="s">
        <v>2273</v>
      </c>
      <c r="C348" s="30" t="s">
        <v>235</v>
      </c>
      <c r="D348" s="30" t="s">
        <v>2012</v>
      </c>
      <c r="E348" s="30" t="s">
        <v>2030</v>
      </c>
      <c r="F348" s="30" t="s">
        <v>2031</v>
      </c>
      <c r="G348" s="30"/>
      <c r="H348" s="30" t="s">
        <v>2484</v>
      </c>
      <c r="I348" s="30" t="s">
        <v>2015</v>
      </c>
      <c r="J348" s="30" t="s">
        <v>2015</v>
      </c>
      <c r="K348" s="30" t="s">
        <v>2018</v>
      </c>
      <c r="L348" s="30" t="s">
        <v>2017</v>
      </c>
      <c r="M348" s="30" t="s">
        <v>2018</v>
      </c>
      <c r="N348" s="30" t="s">
        <v>2018</v>
      </c>
      <c r="O348" s="30" t="s">
        <v>2015</v>
      </c>
      <c r="P348" s="32">
        <v>2580</v>
      </c>
      <c r="Q348" s="32">
        <v>1777</v>
      </c>
      <c r="R348" s="32">
        <v>206</v>
      </c>
      <c r="S348" s="32">
        <v>91</v>
      </c>
      <c r="T348" s="32">
        <v>25</v>
      </c>
      <c r="U348" s="32">
        <v>217</v>
      </c>
      <c r="V348" s="32">
        <v>149</v>
      </c>
      <c r="W348" s="32">
        <v>82</v>
      </c>
      <c r="X348" s="32">
        <v>423</v>
      </c>
      <c r="Y348" s="32">
        <v>240</v>
      </c>
      <c r="Z348" s="32">
        <v>107</v>
      </c>
      <c r="AA348" s="32">
        <v>587</v>
      </c>
      <c r="AB348" s="32">
        <v>261</v>
      </c>
      <c r="AC348" s="32">
        <v>73</v>
      </c>
      <c r="AD348" s="32">
        <v>262</v>
      </c>
      <c r="AE348" s="32">
        <v>179</v>
      </c>
      <c r="AF348" s="32">
        <v>96</v>
      </c>
      <c r="AG348" s="32">
        <v>849</v>
      </c>
      <c r="AH348" s="32">
        <v>440</v>
      </c>
      <c r="AI348" s="32">
        <v>169</v>
      </c>
      <c r="AJ348" s="32">
        <v>849</v>
      </c>
      <c r="AK348" s="32">
        <v>2580</v>
      </c>
      <c r="AL348" s="32">
        <v>32.9</v>
      </c>
    </row>
    <row r="349" spans="1:38" ht="13.5" hidden="1" customHeight="1">
      <c r="A349" s="30" t="s">
        <v>2272</v>
      </c>
      <c r="B349" s="30" t="s">
        <v>2273</v>
      </c>
      <c r="C349" s="30" t="s">
        <v>235</v>
      </c>
      <c r="D349" s="30" t="s">
        <v>2012</v>
      </c>
      <c r="E349" s="30" t="s">
        <v>2030</v>
      </c>
      <c r="F349" s="30" t="s">
        <v>2031</v>
      </c>
      <c r="G349" s="30"/>
      <c r="H349" s="30" t="s">
        <v>2485</v>
      </c>
      <c r="I349" s="30" t="s">
        <v>2015</v>
      </c>
      <c r="J349" s="30" t="s">
        <v>2015</v>
      </c>
      <c r="K349" s="30" t="s">
        <v>2018</v>
      </c>
      <c r="L349" s="30" t="s">
        <v>2017</v>
      </c>
      <c r="M349" s="30" t="s">
        <v>2018</v>
      </c>
      <c r="N349" s="30" t="s">
        <v>2018</v>
      </c>
      <c r="O349" s="30" t="s">
        <v>2015</v>
      </c>
      <c r="P349" s="32">
        <v>1416</v>
      </c>
      <c r="Q349" s="32">
        <v>804</v>
      </c>
      <c r="R349" s="32">
        <v>107</v>
      </c>
      <c r="S349" s="32">
        <v>44</v>
      </c>
      <c r="T349" s="32">
        <v>19</v>
      </c>
      <c r="U349" s="32">
        <v>101</v>
      </c>
      <c r="V349" s="32">
        <v>57</v>
      </c>
      <c r="W349" s="32">
        <v>21</v>
      </c>
      <c r="X349" s="32">
        <v>208</v>
      </c>
      <c r="Y349" s="32">
        <v>101</v>
      </c>
      <c r="Z349" s="32">
        <v>40</v>
      </c>
      <c r="AA349" s="32">
        <v>308</v>
      </c>
      <c r="AB349" s="32">
        <v>126</v>
      </c>
      <c r="AC349" s="32">
        <v>55</v>
      </c>
      <c r="AD349" s="32">
        <v>133</v>
      </c>
      <c r="AE349" s="32">
        <v>75</v>
      </c>
      <c r="AF349" s="32">
        <v>28</v>
      </c>
      <c r="AG349" s="32">
        <v>441</v>
      </c>
      <c r="AH349" s="32">
        <v>201</v>
      </c>
      <c r="AI349" s="32">
        <v>83</v>
      </c>
      <c r="AJ349" s="32">
        <v>441</v>
      </c>
      <c r="AK349" s="32">
        <v>1416</v>
      </c>
      <c r="AL349" s="32">
        <v>31.1</v>
      </c>
    </row>
    <row r="350" spans="1:38" ht="13.5" hidden="1" customHeight="1">
      <c r="A350" s="30" t="s">
        <v>2272</v>
      </c>
      <c r="B350" s="30" t="s">
        <v>2273</v>
      </c>
      <c r="C350" s="30" t="s">
        <v>235</v>
      </c>
      <c r="D350" s="30" t="s">
        <v>2012</v>
      </c>
      <c r="E350" s="30" t="s">
        <v>2030</v>
      </c>
      <c r="F350" s="30" t="s">
        <v>2031</v>
      </c>
      <c r="G350" s="30"/>
      <c r="H350" s="30" t="s">
        <v>2486</v>
      </c>
      <c r="I350" s="30" t="s">
        <v>2015</v>
      </c>
      <c r="J350" s="30" t="s">
        <v>2015</v>
      </c>
      <c r="K350" s="30" t="s">
        <v>2018</v>
      </c>
      <c r="L350" s="30" t="s">
        <v>2017</v>
      </c>
      <c r="M350" s="30" t="s">
        <v>2018</v>
      </c>
      <c r="N350" s="30" t="s">
        <v>2018</v>
      </c>
      <c r="O350" s="30" t="s">
        <v>2015</v>
      </c>
      <c r="P350" s="32">
        <v>3748</v>
      </c>
      <c r="Q350" s="32">
        <v>1535</v>
      </c>
      <c r="R350" s="32">
        <v>308</v>
      </c>
      <c r="S350" s="32">
        <v>129</v>
      </c>
      <c r="T350" s="32">
        <v>64</v>
      </c>
      <c r="U350" s="32">
        <v>372</v>
      </c>
      <c r="V350" s="32">
        <v>231</v>
      </c>
      <c r="W350" s="32">
        <v>165</v>
      </c>
      <c r="X350" s="32">
        <v>680</v>
      </c>
      <c r="Y350" s="32">
        <v>360</v>
      </c>
      <c r="Z350" s="32">
        <v>229</v>
      </c>
      <c r="AA350" s="32">
        <v>923</v>
      </c>
      <c r="AB350" s="32">
        <v>375</v>
      </c>
      <c r="AC350" s="32">
        <v>188</v>
      </c>
      <c r="AD350" s="32">
        <v>441</v>
      </c>
      <c r="AE350" s="32">
        <v>275</v>
      </c>
      <c r="AF350" s="32">
        <v>196</v>
      </c>
      <c r="AG350" s="32">
        <v>1364</v>
      </c>
      <c r="AH350" s="32">
        <v>650</v>
      </c>
      <c r="AI350" s="32">
        <v>384</v>
      </c>
      <c r="AJ350" s="32">
        <v>1364</v>
      </c>
      <c r="AK350" s="32">
        <v>3314</v>
      </c>
      <c r="AL350" s="32">
        <v>41.2</v>
      </c>
    </row>
    <row r="351" spans="1:38" ht="13.5" hidden="1" customHeight="1">
      <c r="A351" s="30" t="s">
        <v>2272</v>
      </c>
      <c r="B351" s="30" t="s">
        <v>2273</v>
      </c>
      <c r="C351" s="30" t="s">
        <v>235</v>
      </c>
      <c r="D351" s="30" t="s">
        <v>2012</v>
      </c>
      <c r="E351" s="30" t="s">
        <v>2030</v>
      </c>
      <c r="F351" s="30" t="s">
        <v>2031</v>
      </c>
      <c r="G351" s="30"/>
      <c r="H351" s="30" t="s">
        <v>2487</v>
      </c>
      <c r="I351" s="30" t="s">
        <v>2015</v>
      </c>
      <c r="J351" s="30" t="s">
        <v>2015</v>
      </c>
      <c r="K351" s="30" t="s">
        <v>2018</v>
      </c>
      <c r="L351" s="30" t="s">
        <v>2017</v>
      </c>
      <c r="M351" s="30" t="s">
        <v>2018</v>
      </c>
      <c r="N351" s="30" t="s">
        <v>2018</v>
      </c>
      <c r="O351" s="30" t="s">
        <v>2015</v>
      </c>
      <c r="P351" s="32">
        <v>2209</v>
      </c>
      <c r="Q351" s="32">
        <v>1052</v>
      </c>
      <c r="R351" s="32">
        <v>208</v>
      </c>
      <c r="S351" s="32">
        <v>82</v>
      </c>
      <c r="T351" s="32">
        <v>43</v>
      </c>
      <c r="U351" s="32">
        <v>121</v>
      </c>
      <c r="V351" s="32">
        <v>70</v>
      </c>
      <c r="W351" s="32">
        <v>46</v>
      </c>
      <c r="X351" s="32">
        <v>329</v>
      </c>
      <c r="Y351" s="32">
        <v>152</v>
      </c>
      <c r="Z351" s="32">
        <v>89</v>
      </c>
      <c r="AA351" s="32">
        <v>616</v>
      </c>
      <c r="AB351" s="32">
        <v>243</v>
      </c>
      <c r="AC351" s="32">
        <v>128</v>
      </c>
      <c r="AD351" s="32">
        <v>152</v>
      </c>
      <c r="AE351" s="32">
        <v>87</v>
      </c>
      <c r="AF351" s="32">
        <v>58</v>
      </c>
      <c r="AG351" s="32">
        <v>768</v>
      </c>
      <c r="AH351" s="32">
        <v>330</v>
      </c>
      <c r="AI351" s="32">
        <v>186</v>
      </c>
      <c r="AJ351" s="32">
        <v>768</v>
      </c>
      <c r="AK351" s="32">
        <v>2168</v>
      </c>
      <c r="AL351" s="32">
        <v>35.4</v>
      </c>
    </row>
    <row r="352" spans="1:38" ht="13.5" hidden="1" customHeight="1">
      <c r="A352" s="30" t="s">
        <v>2272</v>
      </c>
      <c r="B352" s="30" t="s">
        <v>2273</v>
      </c>
      <c r="C352" s="30" t="s">
        <v>235</v>
      </c>
      <c r="D352" s="30" t="s">
        <v>2012</v>
      </c>
      <c r="E352" s="30" t="s">
        <v>2030</v>
      </c>
      <c r="F352" s="30" t="s">
        <v>2031</v>
      </c>
      <c r="G352" s="30"/>
      <c r="H352" s="30" t="s">
        <v>2488</v>
      </c>
      <c r="I352" s="30" t="s">
        <v>2015</v>
      </c>
      <c r="J352" s="30" t="s">
        <v>2015</v>
      </c>
      <c r="K352" s="30" t="s">
        <v>2018</v>
      </c>
      <c r="L352" s="30" t="s">
        <v>2017</v>
      </c>
      <c r="M352" s="30" t="s">
        <v>2018</v>
      </c>
      <c r="N352" s="30" t="s">
        <v>2018</v>
      </c>
      <c r="O352" s="30" t="s">
        <v>2015</v>
      </c>
      <c r="P352" s="32">
        <v>1235</v>
      </c>
      <c r="Q352" s="32">
        <v>1228</v>
      </c>
      <c r="R352" s="32">
        <v>124</v>
      </c>
      <c r="S352" s="32">
        <v>67</v>
      </c>
      <c r="T352" s="32">
        <v>27</v>
      </c>
      <c r="U352" s="32">
        <v>114</v>
      </c>
      <c r="V352" s="32">
        <v>78</v>
      </c>
      <c r="W352" s="32">
        <v>41</v>
      </c>
      <c r="X352" s="32">
        <v>238</v>
      </c>
      <c r="Y352" s="32">
        <v>145</v>
      </c>
      <c r="Z352" s="32">
        <v>68</v>
      </c>
      <c r="AA352" s="32">
        <v>352</v>
      </c>
      <c r="AB352" s="32">
        <v>190</v>
      </c>
      <c r="AC352" s="32">
        <v>77</v>
      </c>
      <c r="AD352" s="32">
        <v>127</v>
      </c>
      <c r="AE352" s="32">
        <v>86</v>
      </c>
      <c r="AF352" s="32">
        <v>45</v>
      </c>
      <c r="AG352" s="32">
        <v>479</v>
      </c>
      <c r="AH352" s="32">
        <v>276</v>
      </c>
      <c r="AI352" s="32">
        <v>122</v>
      </c>
      <c r="AJ352" s="32">
        <v>479</v>
      </c>
      <c r="AK352" s="32">
        <v>1226</v>
      </c>
      <c r="AL352" s="32">
        <v>39.1</v>
      </c>
    </row>
    <row r="353" spans="1:38" ht="13.5" hidden="1" customHeight="1">
      <c r="A353" s="30" t="s">
        <v>2272</v>
      </c>
      <c r="B353" s="30" t="s">
        <v>2273</v>
      </c>
      <c r="C353" s="30" t="s">
        <v>235</v>
      </c>
      <c r="D353" s="30" t="s">
        <v>2012</v>
      </c>
      <c r="E353" s="30" t="s">
        <v>2030</v>
      </c>
      <c r="F353" s="30" t="s">
        <v>2031</v>
      </c>
      <c r="G353" s="30"/>
      <c r="H353" s="30" t="s">
        <v>2489</v>
      </c>
      <c r="I353" s="30" t="s">
        <v>2015</v>
      </c>
      <c r="J353" s="30" t="s">
        <v>2015</v>
      </c>
      <c r="K353" s="30" t="s">
        <v>2018</v>
      </c>
      <c r="L353" s="30" t="s">
        <v>2017</v>
      </c>
      <c r="M353" s="30" t="s">
        <v>2018</v>
      </c>
      <c r="N353" s="30" t="s">
        <v>2018</v>
      </c>
      <c r="O353" s="30" t="s">
        <v>2015</v>
      </c>
      <c r="P353" s="32">
        <v>3794</v>
      </c>
      <c r="Q353" s="32">
        <v>1534</v>
      </c>
      <c r="R353" s="32">
        <v>332</v>
      </c>
      <c r="S353" s="32">
        <v>140</v>
      </c>
      <c r="T353" s="32">
        <v>42</v>
      </c>
      <c r="U353" s="32">
        <v>215</v>
      </c>
      <c r="V353" s="32">
        <v>122</v>
      </c>
      <c r="W353" s="32">
        <v>67</v>
      </c>
      <c r="X353" s="32">
        <v>547</v>
      </c>
      <c r="Y353" s="32">
        <v>262</v>
      </c>
      <c r="Z353" s="32">
        <v>109</v>
      </c>
      <c r="AA353" s="32">
        <v>1023</v>
      </c>
      <c r="AB353" s="32">
        <v>427</v>
      </c>
      <c r="AC353" s="32">
        <v>125</v>
      </c>
      <c r="AD353" s="32">
        <v>301</v>
      </c>
      <c r="AE353" s="32">
        <v>171</v>
      </c>
      <c r="AF353" s="32">
        <v>94</v>
      </c>
      <c r="AG353" s="32">
        <v>1324</v>
      </c>
      <c r="AH353" s="32">
        <v>598</v>
      </c>
      <c r="AI353" s="32">
        <v>219</v>
      </c>
      <c r="AJ353" s="32">
        <v>1324</v>
      </c>
      <c r="AK353" s="32">
        <v>3502</v>
      </c>
      <c r="AL353" s="32">
        <v>37.799999999999997</v>
      </c>
    </row>
    <row r="354" spans="1:38" ht="13.5" hidden="1" customHeight="1">
      <c r="A354" s="30" t="s">
        <v>2272</v>
      </c>
      <c r="B354" s="30" t="s">
        <v>2273</v>
      </c>
      <c r="C354" s="30" t="s">
        <v>235</v>
      </c>
      <c r="D354" s="30" t="s">
        <v>2012</v>
      </c>
      <c r="E354" s="30" t="s">
        <v>2030</v>
      </c>
      <c r="F354" s="30" t="s">
        <v>2031</v>
      </c>
      <c r="G354" s="30"/>
      <c r="H354" s="30" t="s">
        <v>2490</v>
      </c>
      <c r="I354" s="30" t="s">
        <v>2015</v>
      </c>
      <c r="J354" s="30" t="s">
        <v>2015</v>
      </c>
      <c r="K354" s="30" t="s">
        <v>2018</v>
      </c>
      <c r="L354" s="30" t="s">
        <v>2017</v>
      </c>
      <c r="M354" s="30" t="s">
        <v>2018</v>
      </c>
      <c r="N354" s="30" t="s">
        <v>2018</v>
      </c>
      <c r="O354" s="30" t="s">
        <v>2015</v>
      </c>
      <c r="P354" s="32">
        <v>1345</v>
      </c>
      <c r="Q354" s="32">
        <v>694</v>
      </c>
      <c r="R354" s="32">
        <v>136</v>
      </c>
      <c r="S354" s="32">
        <v>55</v>
      </c>
      <c r="T354" s="32">
        <v>28</v>
      </c>
      <c r="U354" s="32">
        <v>95</v>
      </c>
      <c r="V354" s="32">
        <v>59</v>
      </c>
      <c r="W354" s="32">
        <v>35</v>
      </c>
      <c r="X354" s="32">
        <v>231</v>
      </c>
      <c r="Y354" s="32">
        <v>114</v>
      </c>
      <c r="Z354" s="32">
        <v>63</v>
      </c>
      <c r="AA354" s="32">
        <v>435</v>
      </c>
      <c r="AB354" s="32">
        <v>176</v>
      </c>
      <c r="AC354" s="32">
        <v>90</v>
      </c>
      <c r="AD354" s="32">
        <v>124</v>
      </c>
      <c r="AE354" s="32">
        <v>77</v>
      </c>
      <c r="AF354" s="32">
        <v>46</v>
      </c>
      <c r="AG354" s="32">
        <v>559</v>
      </c>
      <c r="AH354" s="32">
        <v>253</v>
      </c>
      <c r="AI354" s="32">
        <v>136</v>
      </c>
      <c r="AJ354" s="32">
        <v>559</v>
      </c>
      <c r="AK354" s="32">
        <v>1314</v>
      </c>
      <c r="AL354" s="32">
        <v>42.5</v>
      </c>
    </row>
    <row r="355" spans="1:38" ht="13.5" hidden="1" customHeight="1">
      <c r="A355" s="30" t="s">
        <v>2272</v>
      </c>
      <c r="B355" s="30" t="s">
        <v>2273</v>
      </c>
      <c r="C355" s="30" t="s">
        <v>235</v>
      </c>
      <c r="D355" s="30" t="s">
        <v>2012</v>
      </c>
      <c r="E355" s="30" t="s">
        <v>2032</v>
      </c>
      <c r="F355" s="30" t="s">
        <v>2033</v>
      </c>
      <c r="G355" s="30"/>
      <c r="H355" s="30" t="s">
        <v>2491</v>
      </c>
      <c r="I355" s="30" t="s">
        <v>2015</v>
      </c>
      <c r="J355" s="30" t="s">
        <v>2015</v>
      </c>
      <c r="K355" s="30" t="s">
        <v>2018</v>
      </c>
      <c r="L355" s="30" t="s">
        <v>2017</v>
      </c>
      <c r="M355" s="30" t="s">
        <v>2018</v>
      </c>
      <c r="N355" s="30" t="s">
        <v>2018</v>
      </c>
      <c r="O355" s="30" t="s">
        <v>2015</v>
      </c>
      <c r="P355" s="32">
        <v>675</v>
      </c>
      <c r="Q355" s="32">
        <v>315</v>
      </c>
      <c r="R355" s="32">
        <v>67</v>
      </c>
      <c r="S355" s="32">
        <v>40</v>
      </c>
      <c r="T355" s="32">
        <v>20</v>
      </c>
      <c r="U355" s="32">
        <v>37</v>
      </c>
      <c r="V355" s="32">
        <v>22</v>
      </c>
      <c r="W355" s="32">
        <v>9</v>
      </c>
      <c r="X355" s="32">
        <v>104</v>
      </c>
      <c r="Y355" s="32">
        <v>62</v>
      </c>
      <c r="Z355" s="32">
        <v>29</v>
      </c>
      <c r="AA355" s="32">
        <v>208</v>
      </c>
      <c r="AB355" s="32">
        <v>124</v>
      </c>
      <c r="AC355" s="32">
        <v>62</v>
      </c>
      <c r="AD355" s="32">
        <v>48</v>
      </c>
      <c r="AE355" s="32">
        <v>29</v>
      </c>
      <c r="AF355" s="32">
        <v>12</v>
      </c>
      <c r="AG355" s="32">
        <v>256</v>
      </c>
      <c r="AH355" s="32">
        <v>153</v>
      </c>
      <c r="AI355" s="32">
        <v>74</v>
      </c>
      <c r="AJ355" s="32">
        <v>256</v>
      </c>
      <c r="AK355" s="32">
        <v>683</v>
      </c>
      <c r="AL355" s="32">
        <v>37.5</v>
      </c>
    </row>
    <row r="356" spans="1:38" ht="13.5" hidden="1" customHeight="1">
      <c r="A356" s="30" t="s">
        <v>2272</v>
      </c>
      <c r="B356" s="30" t="s">
        <v>2273</v>
      </c>
      <c r="C356" s="30" t="s">
        <v>235</v>
      </c>
      <c r="D356" s="30" t="s">
        <v>2012</v>
      </c>
      <c r="E356" s="30" t="s">
        <v>2032</v>
      </c>
      <c r="F356" s="30" t="s">
        <v>2033</v>
      </c>
      <c r="G356" s="30"/>
      <c r="H356" s="30" t="s">
        <v>2492</v>
      </c>
      <c r="I356" s="30" t="s">
        <v>2015</v>
      </c>
      <c r="J356" s="30" t="s">
        <v>2015</v>
      </c>
      <c r="K356" s="30" t="s">
        <v>2018</v>
      </c>
      <c r="L356" s="30" t="s">
        <v>2017</v>
      </c>
      <c r="M356" s="30" t="s">
        <v>2018</v>
      </c>
      <c r="N356" s="30" t="s">
        <v>2018</v>
      </c>
      <c r="O356" s="30" t="s">
        <v>2015</v>
      </c>
      <c r="P356" s="32">
        <v>2960</v>
      </c>
      <c r="Q356" s="32">
        <v>2046</v>
      </c>
      <c r="R356" s="32">
        <v>269</v>
      </c>
      <c r="S356" s="32">
        <v>119</v>
      </c>
      <c r="T356" s="32">
        <v>45</v>
      </c>
      <c r="U356" s="32">
        <v>196</v>
      </c>
      <c r="V356" s="32">
        <v>121</v>
      </c>
      <c r="W356" s="32">
        <v>63</v>
      </c>
      <c r="X356" s="32">
        <v>465</v>
      </c>
      <c r="Y356" s="32">
        <v>240</v>
      </c>
      <c r="Z356" s="32">
        <v>108</v>
      </c>
      <c r="AA356" s="32">
        <v>776</v>
      </c>
      <c r="AB356" s="32">
        <v>344</v>
      </c>
      <c r="AC356" s="32">
        <v>130</v>
      </c>
      <c r="AD356" s="32">
        <v>245</v>
      </c>
      <c r="AE356" s="32">
        <v>154</v>
      </c>
      <c r="AF356" s="32">
        <v>82</v>
      </c>
      <c r="AG356" s="32">
        <v>1021</v>
      </c>
      <c r="AH356" s="32">
        <v>498</v>
      </c>
      <c r="AI356" s="32">
        <v>212</v>
      </c>
      <c r="AJ356" s="32">
        <v>1021</v>
      </c>
      <c r="AK356" s="32">
        <v>2960</v>
      </c>
      <c r="AL356" s="32">
        <v>34.5</v>
      </c>
    </row>
    <row r="357" spans="1:38" ht="13.5" hidden="1" customHeight="1">
      <c r="A357" s="30" t="s">
        <v>2272</v>
      </c>
      <c r="B357" s="30" t="s">
        <v>2273</v>
      </c>
      <c r="C357" s="30" t="s">
        <v>235</v>
      </c>
      <c r="D357" s="30" t="s">
        <v>2012</v>
      </c>
      <c r="E357" s="30" t="s">
        <v>2032</v>
      </c>
      <c r="F357" s="30" t="s">
        <v>2033</v>
      </c>
      <c r="G357" s="30"/>
      <c r="H357" s="30" t="s">
        <v>2493</v>
      </c>
      <c r="I357" s="30" t="s">
        <v>2015</v>
      </c>
      <c r="J357" s="30" t="s">
        <v>2015</v>
      </c>
      <c r="K357" s="30" t="s">
        <v>2018</v>
      </c>
      <c r="L357" s="30" t="s">
        <v>2017</v>
      </c>
      <c r="M357" s="30" t="s">
        <v>2018</v>
      </c>
      <c r="N357" s="30" t="s">
        <v>2018</v>
      </c>
      <c r="O357" s="30" t="s">
        <v>2015</v>
      </c>
      <c r="P357" s="32">
        <v>2334</v>
      </c>
      <c r="Q357" s="32">
        <v>1993</v>
      </c>
      <c r="R357" s="32">
        <v>223</v>
      </c>
      <c r="S357" s="32">
        <v>92</v>
      </c>
      <c r="T357" s="32">
        <v>39</v>
      </c>
      <c r="U357" s="32">
        <v>291</v>
      </c>
      <c r="V357" s="32">
        <v>197</v>
      </c>
      <c r="W357" s="32">
        <v>103</v>
      </c>
      <c r="X357" s="32">
        <v>514</v>
      </c>
      <c r="Y357" s="32">
        <v>289</v>
      </c>
      <c r="Z357" s="32">
        <v>142</v>
      </c>
      <c r="AA357" s="32">
        <v>613</v>
      </c>
      <c r="AB357" s="32">
        <v>256</v>
      </c>
      <c r="AC357" s="32">
        <v>111</v>
      </c>
      <c r="AD357" s="32">
        <v>333</v>
      </c>
      <c r="AE357" s="32">
        <v>224</v>
      </c>
      <c r="AF357" s="32">
        <v>116</v>
      </c>
      <c r="AG357" s="32">
        <v>946</v>
      </c>
      <c r="AH357" s="32">
        <v>480</v>
      </c>
      <c r="AI357" s="32">
        <v>227</v>
      </c>
      <c r="AJ357" s="32">
        <v>946</v>
      </c>
      <c r="AK357" s="32">
        <v>2253</v>
      </c>
      <c r="AL357" s="32">
        <v>42</v>
      </c>
    </row>
    <row r="358" spans="1:38" ht="13.5" hidden="1" customHeight="1">
      <c r="A358" s="30" t="s">
        <v>2272</v>
      </c>
      <c r="B358" s="30" t="s">
        <v>2273</v>
      </c>
      <c r="C358" s="30" t="s">
        <v>235</v>
      </c>
      <c r="D358" s="30" t="s">
        <v>2012</v>
      </c>
      <c r="E358" s="30" t="s">
        <v>2032</v>
      </c>
      <c r="F358" s="30" t="s">
        <v>2033</v>
      </c>
      <c r="G358" s="30"/>
      <c r="H358" s="30" t="s">
        <v>2494</v>
      </c>
      <c r="I358" s="30" t="s">
        <v>2015</v>
      </c>
      <c r="J358" s="30" t="s">
        <v>2015</v>
      </c>
      <c r="K358" s="30" t="s">
        <v>2018</v>
      </c>
      <c r="L358" s="30" t="s">
        <v>2017</v>
      </c>
      <c r="M358" s="30" t="s">
        <v>2018</v>
      </c>
      <c r="N358" s="30" t="s">
        <v>2018</v>
      </c>
      <c r="O358" s="30" t="s">
        <v>2015</v>
      </c>
      <c r="P358" s="32">
        <v>782</v>
      </c>
      <c r="Q358" s="32">
        <v>598</v>
      </c>
      <c r="R358" s="32">
        <v>90</v>
      </c>
      <c r="S358" s="32">
        <v>39</v>
      </c>
      <c r="T358" s="32">
        <v>22</v>
      </c>
      <c r="U358" s="32">
        <v>58</v>
      </c>
      <c r="V358" s="32">
        <v>43</v>
      </c>
      <c r="W358" s="32">
        <v>28</v>
      </c>
      <c r="X358" s="32">
        <v>148</v>
      </c>
      <c r="Y358" s="32">
        <v>82</v>
      </c>
      <c r="Z358" s="32">
        <v>50</v>
      </c>
      <c r="AA358" s="32">
        <v>243</v>
      </c>
      <c r="AB358" s="32">
        <v>105</v>
      </c>
      <c r="AC358" s="32">
        <v>59</v>
      </c>
      <c r="AD358" s="32">
        <v>64</v>
      </c>
      <c r="AE358" s="32">
        <v>47</v>
      </c>
      <c r="AF358" s="32">
        <v>31</v>
      </c>
      <c r="AG358" s="32">
        <v>307</v>
      </c>
      <c r="AH358" s="32">
        <v>152</v>
      </c>
      <c r="AI358" s="32">
        <v>90</v>
      </c>
      <c r="AJ358" s="32">
        <v>307</v>
      </c>
      <c r="AK358" s="32">
        <v>784</v>
      </c>
      <c r="AL358" s="32">
        <v>39.200000000000003</v>
      </c>
    </row>
    <row r="359" spans="1:38" ht="13.5" hidden="1" customHeight="1">
      <c r="A359" s="30" t="s">
        <v>2272</v>
      </c>
      <c r="B359" s="30" t="s">
        <v>2273</v>
      </c>
      <c r="C359" s="30" t="s">
        <v>235</v>
      </c>
      <c r="D359" s="30" t="s">
        <v>2012</v>
      </c>
      <c r="E359" s="30" t="s">
        <v>2032</v>
      </c>
      <c r="F359" s="30" t="s">
        <v>2033</v>
      </c>
      <c r="G359" s="30"/>
      <c r="H359" s="30" t="s">
        <v>2495</v>
      </c>
      <c r="I359" s="30" t="s">
        <v>2015</v>
      </c>
      <c r="J359" s="30" t="s">
        <v>2015</v>
      </c>
      <c r="K359" s="30" t="s">
        <v>2018</v>
      </c>
      <c r="L359" s="30" t="s">
        <v>2017</v>
      </c>
      <c r="M359" s="30" t="s">
        <v>2018</v>
      </c>
      <c r="N359" s="30" t="s">
        <v>2018</v>
      </c>
      <c r="O359" s="30" t="s">
        <v>2015</v>
      </c>
      <c r="P359" s="32">
        <v>2644</v>
      </c>
      <c r="Q359" s="32">
        <v>2290</v>
      </c>
      <c r="R359" s="32">
        <v>267</v>
      </c>
      <c r="S359" s="32">
        <v>94</v>
      </c>
      <c r="T359" s="32">
        <v>28</v>
      </c>
      <c r="U359" s="32">
        <v>247</v>
      </c>
      <c r="V359" s="32">
        <v>133</v>
      </c>
      <c r="W359" s="32">
        <v>70</v>
      </c>
      <c r="X359" s="32">
        <v>514</v>
      </c>
      <c r="Y359" s="32">
        <v>227</v>
      </c>
      <c r="Z359" s="32">
        <v>98</v>
      </c>
      <c r="AA359" s="32">
        <v>736</v>
      </c>
      <c r="AB359" s="32">
        <v>259</v>
      </c>
      <c r="AC359" s="32">
        <v>77</v>
      </c>
      <c r="AD359" s="32">
        <v>288</v>
      </c>
      <c r="AE359" s="32">
        <v>155</v>
      </c>
      <c r="AF359" s="32">
        <v>81</v>
      </c>
      <c r="AG359" s="32">
        <v>1024</v>
      </c>
      <c r="AH359" s="32">
        <v>414</v>
      </c>
      <c r="AI359" s="32">
        <v>158</v>
      </c>
      <c r="AJ359" s="32">
        <v>1024</v>
      </c>
      <c r="AK359" s="32">
        <v>2625</v>
      </c>
      <c r="AL359" s="32">
        <v>39</v>
      </c>
    </row>
    <row r="360" spans="1:38" ht="13.5" hidden="1" customHeight="1">
      <c r="A360" s="30" t="s">
        <v>2272</v>
      </c>
      <c r="B360" s="30" t="s">
        <v>2273</v>
      </c>
      <c r="C360" s="30" t="s">
        <v>235</v>
      </c>
      <c r="D360" s="30" t="s">
        <v>2012</v>
      </c>
      <c r="E360" s="30" t="s">
        <v>2032</v>
      </c>
      <c r="F360" s="30" t="s">
        <v>2033</v>
      </c>
      <c r="G360" s="30"/>
      <c r="H360" s="30" t="s">
        <v>2496</v>
      </c>
      <c r="I360" s="30" t="s">
        <v>2015</v>
      </c>
      <c r="J360" s="30" t="s">
        <v>2015</v>
      </c>
      <c r="K360" s="30" t="s">
        <v>2018</v>
      </c>
      <c r="L360" s="30" t="s">
        <v>2017</v>
      </c>
      <c r="M360" s="30" t="s">
        <v>2018</v>
      </c>
      <c r="N360" s="30" t="s">
        <v>2018</v>
      </c>
      <c r="O360" s="30" t="s">
        <v>2015</v>
      </c>
      <c r="P360" s="32">
        <v>2041</v>
      </c>
      <c r="Q360" s="32">
        <v>1151</v>
      </c>
      <c r="R360" s="32">
        <v>169</v>
      </c>
      <c r="S360" s="32">
        <v>88</v>
      </c>
      <c r="T360" s="32">
        <v>32</v>
      </c>
      <c r="U360" s="32">
        <v>254</v>
      </c>
      <c r="V360" s="32">
        <v>150</v>
      </c>
      <c r="W360" s="32">
        <v>75</v>
      </c>
      <c r="X360" s="32">
        <v>423</v>
      </c>
      <c r="Y360" s="32">
        <v>238</v>
      </c>
      <c r="Z360" s="32">
        <v>107</v>
      </c>
      <c r="AA360" s="32">
        <v>457</v>
      </c>
      <c r="AB360" s="32">
        <v>236</v>
      </c>
      <c r="AC360" s="32">
        <v>86</v>
      </c>
      <c r="AD360" s="32">
        <v>286</v>
      </c>
      <c r="AE360" s="32">
        <v>168</v>
      </c>
      <c r="AF360" s="32">
        <v>86</v>
      </c>
      <c r="AG360" s="32">
        <v>743</v>
      </c>
      <c r="AH360" s="32">
        <v>404</v>
      </c>
      <c r="AI360" s="32">
        <v>172</v>
      </c>
      <c r="AJ360" s="32">
        <v>743</v>
      </c>
      <c r="AK360" s="32">
        <v>1940</v>
      </c>
      <c r="AL360" s="32">
        <v>38.299999999999997</v>
      </c>
    </row>
    <row r="361" spans="1:38" ht="13.5" hidden="1" customHeight="1">
      <c r="A361" s="30" t="s">
        <v>2272</v>
      </c>
      <c r="B361" s="30" t="s">
        <v>2273</v>
      </c>
      <c r="C361" s="30" t="s">
        <v>235</v>
      </c>
      <c r="D361" s="30" t="s">
        <v>2012</v>
      </c>
      <c r="E361" s="30" t="s">
        <v>2032</v>
      </c>
      <c r="F361" s="30" t="s">
        <v>2033</v>
      </c>
      <c r="G361" s="30"/>
      <c r="H361" s="30" t="s">
        <v>2497</v>
      </c>
      <c r="I361" s="30" t="s">
        <v>2015</v>
      </c>
      <c r="J361" s="30" t="s">
        <v>2015</v>
      </c>
      <c r="K361" s="30" t="s">
        <v>2018</v>
      </c>
      <c r="L361" s="30" t="s">
        <v>2017</v>
      </c>
      <c r="M361" s="30" t="s">
        <v>2018</v>
      </c>
      <c r="N361" s="30" t="s">
        <v>2018</v>
      </c>
      <c r="O361" s="30" t="s">
        <v>2015</v>
      </c>
      <c r="P361" s="32">
        <v>1625</v>
      </c>
      <c r="Q361" s="32">
        <v>739</v>
      </c>
      <c r="R361" s="32">
        <v>154</v>
      </c>
      <c r="S361" s="32">
        <v>91</v>
      </c>
      <c r="T361" s="32">
        <v>45</v>
      </c>
      <c r="U361" s="32">
        <v>92</v>
      </c>
      <c r="V361" s="32">
        <v>60</v>
      </c>
      <c r="W361" s="32">
        <v>35</v>
      </c>
      <c r="X361" s="32">
        <v>246</v>
      </c>
      <c r="Y361" s="32">
        <v>151</v>
      </c>
      <c r="Z361" s="32">
        <v>80</v>
      </c>
      <c r="AA361" s="32">
        <v>462</v>
      </c>
      <c r="AB361" s="32">
        <v>273</v>
      </c>
      <c r="AC361" s="32">
        <v>135</v>
      </c>
      <c r="AD361" s="32">
        <v>129</v>
      </c>
      <c r="AE361" s="32">
        <v>84</v>
      </c>
      <c r="AF361" s="32">
        <v>49</v>
      </c>
      <c r="AG361" s="32">
        <v>591</v>
      </c>
      <c r="AH361" s="32">
        <v>357</v>
      </c>
      <c r="AI361" s="32">
        <v>184</v>
      </c>
      <c r="AJ361" s="32">
        <v>591</v>
      </c>
      <c r="AK361" s="32">
        <v>1634</v>
      </c>
      <c r="AL361" s="32">
        <v>36.200000000000003</v>
      </c>
    </row>
    <row r="362" spans="1:38" ht="13.5" hidden="1" customHeight="1">
      <c r="A362" s="30" t="s">
        <v>2272</v>
      </c>
      <c r="B362" s="30" t="s">
        <v>2273</v>
      </c>
      <c r="C362" s="30" t="s">
        <v>235</v>
      </c>
      <c r="D362" s="30" t="s">
        <v>2012</v>
      </c>
      <c r="E362" s="30" t="s">
        <v>2032</v>
      </c>
      <c r="F362" s="30" t="s">
        <v>2033</v>
      </c>
      <c r="G362" s="30"/>
      <c r="H362" s="30" t="s">
        <v>2498</v>
      </c>
      <c r="I362" s="30" t="s">
        <v>2015</v>
      </c>
      <c r="J362" s="30" t="s">
        <v>2015</v>
      </c>
      <c r="K362" s="30" t="s">
        <v>2018</v>
      </c>
      <c r="L362" s="30" t="s">
        <v>2017</v>
      </c>
      <c r="M362" s="30" t="s">
        <v>2018</v>
      </c>
      <c r="N362" s="30" t="s">
        <v>2018</v>
      </c>
      <c r="O362" s="30" t="s">
        <v>2015</v>
      </c>
      <c r="P362" s="32">
        <v>1090</v>
      </c>
      <c r="Q362" s="32">
        <v>572</v>
      </c>
      <c r="R362" s="32">
        <v>91</v>
      </c>
      <c r="S362" s="32">
        <v>30</v>
      </c>
      <c r="T362" s="32">
        <v>12</v>
      </c>
      <c r="U362" s="32">
        <v>84</v>
      </c>
      <c r="V362" s="32">
        <v>46</v>
      </c>
      <c r="W362" s="32">
        <v>18</v>
      </c>
      <c r="X362" s="32">
        <v>175</v>
      </c>
      <c r="Y362" s="32">
        <v>76</v>
      </c>
      <c r="Z362" s="32">
        <v>30</v>
      </c>
      <c r="AA362" s="32">
        <v>255</v>
      </c>
      <c r="AB362" s="32">
        <v>84</v>
      </c>
      <c r="AC362" s="32">
        <v>34</v>
      </c>
      <c r="AD362" s="32">
        <v>101</v>
      </c>
      <c r="AE362" s="32">
        <v>55</v>
      </c>
      <c r="AF362" s="32">
        <v>22</v>
      </c>
      <c r="AG362" s="32">
        <v>356</v>
      </c>
      <c r="AH362" s="32">
        <v>139</v>
      </c>
      <c r="AI362" s="32">
        <v>56</v>
      </c>
      <c r="AJ362" s="32">
        <v>356</v>
      </c>
      <c r="AK362" s="32">
        <v>1089</v>
      </c>
      <c r="AL362" s="32">
        <v>32.700000000000003</v>
      </c>
    </row>
    <row r="363" spans="1:38" ht="13.5" hidden="1" customHeight="1">
      <c r="A363" s="30" t="s">
        <v>2272</v>
      </c>
      <c r="B363" s="30" t="s">
        <v>2273</v>
      </c>
      <c r="C363" s="30" t="s">
        <v>235</v>
      </c>
      <c r="D363" s="30" t="s">
        <v>2012</v>
      </c>
      <c r="E363" s="30" t="s">
        <v>2032</v>
      </c>
      <c r="F363" s="30" t="s">
        <v>2033</v>
      </c>
      <c r="G363" s="30"/>
      <c r="H363" s="30" t="s">
        <v>2499</v>
      </c>
      <c r="I363" s="30" t="s">
        <v>2015</v>
      </c>
      <c r="J363" s="30" t="s">
        <v>2015</v>
      </c>
      <c r="K363" s="30" t="s">
        <v>2018</v>
      </c>
      <c r="L363" s="30" t="s">
        <v>2017</v>
      </c>
      <c r="M363" s="30" t="s">
        <v>2018</v>
      </c>
      <c r="N363" s="30" t="s">
        <v>2018</v>
      </c>
      <c r="O363" s="30" t="s">
        <v>2015</v>
      </c>
      <c r="P363" s="32">
        <v>1</v>
      </c>
      <c r="Q363" s="32">
        <v>3</v>
      </c>
      <c r="R363" s="32">
        <v>0</v>
      </c>
      <c r="S363" s="32">
        <v>0</v>
      </c>
      <c r="T363" s="32">
        <v>0</v>
      </c>
      <c r="U363" s="32">
        <v>2</v>
      </c>
      <c r="V363" s="32">
        <v>2</v>
      </c>
      <c r="W363" s="32">
        <v>2</v>
      </c>
      <c r="X363" s="32">
        <v>2</v>
      </c>
      <c r="Y363" s="32">
        <v>2</v>
      </c>
      <c r="Z363" s="32">
        <v>2</v>
      </c>
      <c r="AA363" s="32">
        <v>0</v>
      </c>
      <c r="AB363" s="32">
        <v>0</v>
      </c>
      <c r="AC363" s="32">
        <v>0</v>
      </c>
      <c r="AD363" s="32">
        <v>2</v>
      </c>
      <c r="AE363" s="32">
        <v>2</v>
      </c>
      <c r="AF363" s="32">
        <v>2</v>
      </c>
      <c r="AG363" s="32">
        <v>2</v>
      </c>
      <c r="AH363" s="32">
        <v>2</v>
      </c>
      <c r="AI363" s="32">
        <v>2</v>
      </c>
      <c r="AJ363" s="32">
        <v>2</v>
      </c>
      <c r="AK363" s="32">
        <v>2</v>
      </c>
      <c r="AL363" s="32">
        <v>100</v>
      </c>
    </row>
    <row r="364" spans="1:38" ht="13.5" hidden="1" customHeight="1">
      <c r="A364" s="30" t="s">
        <v>2272</v>
      </c>
      <c r="B364" s="30" t="s">
        <v>2273</v>
      </c>
      <c r="C364" s="30" t="s">
        <v>235</v>
      </c>
      <c r="D364" s="30" t="s">
        <v>2012</v>
      </c>
      <c r="E364" s="30" t="s">
        <v>2032</v>
      </c>
      <c r="F364" s="30" t="s">
        <v>2033</v>
      </c>
      <c r="G364" s="30"/>
      <c r="H364" s="30" t="s">
        <v>2500</v>
      </c>
      <c r="I364" s="30" t="s">
        <v>2015</v>
      </c>
      <c r="J364" s="30" t="s">
        <v>2015</v>
      </c>
      <c r="K364" s="30" t="s">
        <v>2018</v>
      </c>
      <c r="L364" s="30" t="s">
        <v>2017</v>
      </c>
      <c r="M364" s="30" t="s">
        <v>2018</v>
      </c>
      <c r="N364" s="30" t="s">
        <v>2018</v>
      </c>
      <c r="O364" s="30" t="s">
        <v>2015</v>
      </c>
      <c r="P364" s="32">
        <v>2388</v>
      </c>
      <c r="Q364" s="32">
        <v>1427</v>
      </c>
      <c r="R364" s="32">
        <v>234</v>
      </c>
      <c r="S364" s="32">
        <v>103</v>
      </c>
      <c r="T364" s="32">
        <v>43</v>
      </c>
      <c r="U364" s="32">
        <v>137</v>
      </c>
      <c r="V364" s="32">
        <v>77</v>
      </c>
      <c r="W364" s="32">
        <v>63</v>
      </c>
      <c r="X364" s="32">
        <v>371</v>
      </c>
      <c r="Y364" s="32">
        <v>180</v>
      </c>
      <c r="Z364" s="32">
        <v>106</v>
      </c>
      <c r="AA364" s="32">
        <v>706</v>
      </c>
      <c r="AB364" s="32">
        <v>315</v>
      </c>
      <c r="AC364" s="32">
        <v>130</v>
      </c>
      <c r="AD364" s="32">
        <v>175</v>
      </c>
      <c r="AE364" s="32">
        <v>98</v>
      </c>
      <c r="AF364" s="32">
        <v>80</v>
      </c>
      <c r="AG364" s="32">
        <v>881</v>
      </c>
      <c r="AH364" s="32">
        <v>413</v>
      </c>
      <c r="AI364" s="32">
        <v>210</v>
      </c>
      <c r="AJ364" s="32">
        <v>881</v>
      </c>
      <c r="AK364" s="32">
        <v>2364</v>
      </c>
      <c r="AL364" s="32">
        <v>37.299999999999997</v>
      </c>
    </row>
    <row r="365" spans="1:38" ht="13.5" hidden="1" customHeight="1">
      <c r="A365" s="30" t="s">
        <v>2272</v>
      </c>
      <c r="B365" s="30" t="s">
        <v>2273</v>
      </c>
      <c r="C365" s="30" t="s">
        <v>235</v>
      </c>
      <c r="D365" s="30" t="s">
        <v>2012</v>
      </c>
      <c r="E365" s="30" t="s">
        <v>2032</v>
      </c>
      <c r="F365" s="30" t="s">
        <v>2033</v>
      </c>
      <c r="G365" s="30"/>
      <c r="H365" s="30" t="s">
        <v>2501</v>
      </c>
      <c r="I365" s="30" t="s">
        <v>2015</v>
      </c>
      <c r="J365" s="30" t="s">
        <v>2015</v>
      </c>
      <c r="K365" s="30" t="s">
        <v>2018</v>
      </c>
      <c r="L365" s="30" t="s">
        <v>2017</v>
      </c>
      <c r="M365" s="30" t="s">
        <v>2018</v>
      </c>
      <c r="N365" s="30" t="s">
        <v>2018</v>
      </c>
      <c r="O365" s="30" t="s">
        <v>2015</v>
      </c>
      <c r="P365" s="32">
        <v>75</v>
      </c>
      <c r="Q365" s="32">
        <v>177</v>
      </c>
      <c r="R365" s="32">
        <v>5</v>
      </c>
      <c r="S365" s="32">
        <v>2</v>
      </c>
      <c r="T365" s="32">
        <v>2</v>
      </c>
      <c r="U365" s="32">
        <v>21</v>
      </c>
      <c r="V365" s="32">
        <v>10</v>
      </c>
      <c r="W365" s="32">
        <v>2</v>
      </c>
      <c r="X365" s="32">
        <v>26</v>
      </c>
      <c r="Y365" s="32">
        <v>12</v>
      </c>
      <c r="Z365" s="32">
        <v>4</v>
      </c>
      <c r="AA365" s="32">
        <v>13</v>
      </c>
      <c r="AB365" s="32">
        <v>5</v>
      </c>
      <c r="AC365" s="32">
        <v>5</v>
      </c>
      <c r="AD365" s="32">
        <v>23</v>
      </c>
      <c r="AE365" s="32">
        <v>11</v>
      </c>
      <c r="AF365" s="32">
        <v>2</v>
      </c>
      <c r="AG365" s="32">
        <v>36</v>
      </c>
      <c r="AH365" s="32">
        <v>16</v>
      </c>
      <c r="AI365" s="32">
        <v>7</v>
      </c>
      <c r="AJ365" s="32">
        <v>36</v>
      </c>
      <c r="AK365" s="32">
        <v>79</v>
      </c>
      <c r="AL365" s="32">
        <v>45.6</v>
      </c>
    </row>
    <row r="366" spans="1:38" ht="13.5" hidden="1" customHeight="1">
      <c r="A366" s="30" t="s">
        <v>2272</v>
      </c>
      <c r="B366" s="30" t="s">
        <v>2273</v>
      </c>
      <c r="C366" s="30" t="s">
        <v>235</v>
      </c>
      <c r="D366" s="30" t="s">
        <v>2012</v>
      </c>
      <c r="E366" s="30" t="s">
        <v>2032</v>
      </c>
      <c r="F366" s="30" t="s">
        <v>2033</v>
      </c>
      <c r="G366" s="30"/>
      <c r="H366" s="30" t="s">
        <v>2502</v>
      </c>
      <c r="I366" s="30" t="s">
        <v>2015</v>
      </c>
      <c r="J366" s="30" t="s">
        <v>2015</v>
      </c>
      <c r="K366" s="30" t="s">
        <v>2018</v>
      </c>
      <c r="L366" s="30" t="s">
        <v>2017</v>
      </c>
      <c r="M366" s="30" t="s">
        <v>2018</v>
      </c>
      <c r="N366" s="30" t="s">
        <v>2018</v>
      </c>
      <c r="O366" s="30" t="s">
        <v>2015</v>
      </c>
      <c r="P366" s="32">
        <v>1748</v>
      </c>
      <c r="Q366" s="32">
        <v>880</v>
      </c>
      <c r="R366" s="32">
        <v>119</v>
      </c>
      <c r="S366" s="32">
        <v>38</v>
      </c>
      <c r="T366" s="32">
        <v>20</v>
      </c>
      <c r="U366" s="32">
        <v>133</v>
      </c>
      <c r="V366" s="32">
        <v>76</v>
      </c>
      <c r="W366" s="32">
        <v>46</v>
      </c>
      <c r="X366" s="32">
        <v>252</v>
      </c>
      <c r="Y366" s="32">
        <v>114</v>
      </c>
      <c r="Z366" s="32">
        <v>66</v>
      </c>
      <c r="AA366" s="32">
        <v>340</v>
      </c>
      <c r="AB366" s="32">
        <v>109</v>
      </c>
      <c r="AC366" s="32">
        <v>58</v>
      </c>
      <c r="AD366" s="32">
        <v>152</v>
      </c>
      <c r="AE366" s="32">
        <v>87</v>
      </c>
      <c r="AF366" s="32">
        <v>53</v>
      </c>
      <c r="AG366" s="32">
        <v>492</v>
      </c>
      <c r="AH366" s="32">
        <v>196</v>
      </c>
      <c r="AI366" s="32">
        <v>111</v>
      </c>
      <c r="AJ366" s="32">
        <v>492</v>
      </c>
      <c r="AK366" s="32">
        <v>1710</v>
      </c>
      <c r="AL366" s="32">
        <v>28.8</v>
      </c>
    </row>
    <row r="367" spans="1:38" ht="13.5" hidden="1" customHeight="1">
      <c r="A367" s="30" t="s">
        <v>2272</v>
      </c>
      <c r="B367" s="30" t="s">
        <v>2273</v>
      </c>
      <c r="C367" s="30" t="s">
        <v>235</v>
      </c>
      <c r="D367" s="30" t="s">
        <v>2012</v>
      </c>
      <c r="E367" s="30" t="s">
        <v>2032</v>
      </c>
      <c r="F367" s="30" t="s">
        <v>2033</v>
      </c>
      <c r="G367" s="30"/>
      <c r="H367" s="30" t="s">
        <v>2503</v>
      </c>
      <c r="I367" s="30" t="s">
        <v>2015</v>
      </c>
      <c r="J367" s="30" t="s">
        <v>2015</v>
      </c>
      <c r="K367" s="30" t="s">
        <v>2018</v>
      </c>
      <c r="L367" s="30" t="s">
        <v>2017</v>
      </c>
      <c r="M367" s="30" t="s">
        <v>2018</v>
      </c>
      <c r="N367" s="30" t="s">
        <v>2018</v>
      </c>
      <c r="O367" s="30" t="s">
        <v>2015</v>
      </c>
      <c r="P367" s="32">
        <v>1626</v>
      </c>
      <c r="Q367" s="32">
        <v>1092</v>
      </c>
      <c r="R367" s="32">
        <v>147</v>
      </c>
      <c r="S367" s="32">
        <v>66</v>
      </c>
      <c r="T367" s="32">
        <v>32</v>
      </c>
      <c r="U367" s="32">
        <v>120</v>
      </c>
      <c r="V367" s="32">
        <v>73</v>
      </c>
      <c r="W367" s="32">
        <v>36</v>
      </c>
      <c r="X367" s="32">
        <v>267</v>
      </c>
      <c r="Y367" s="32">
        <v>139</v>
      </c>
      <c r="Z367" s="32">
        <v>68</v>
      </c>
      <c r="AA367" s="32">
        <v>433</v>
      </c>
      <c r="AB367" s="32">
        <v>195</v>
      </c>
      <c r="AC367" s="32">
        <v>96</v>
      </c>
      <c r="AD367" s="32">
        <v>138</v>
      </c>
      <c r="AE367" s="32">
        <v>85</v>
      </c>
      <c r="AF367" s="32">
        <v>42</v>
      </c>
      <c r="AG367" s="32">
        <v>571</v>
      </c>
      <c r="AH367" s="32">
        <v>280</v>
      </c>
      <c r="AI367" s="32">
        <v>138</v>
      </c>
      <c r="AJ367" s="32">
        <v>571</v>
      </c>
      <c r="AK367" s="32">
        <v>1623</v>
      </c>
      <c r="AL367" s="32">
        <v>35.200000000000003</v>
      </c>
    </row>
    <row r="368" spans="1:38" ht="13.5" hidden="1" customHeight="1">
      <c r="A368" s="30" t="s">
        <v>2272</v>
      </c>
      <c r="B368" s="30" t="s">
        <v>2273</v>
      </c>
      <c r="C368" s="30" t="s">
        <v>235</v>
      </c>
      <c r="D368" s="30" t="s">
        <v>2012</v>
      </c>
      <c r="E368" s="30" t="s">
        <v>2032</v>
      </c>
      <c r="F368" s="30" t="s">
        <v>2033</v>
      </c>
      <c r="G368" s="30"/>
      <c r="H368" s="30" t="s">
        <v>2504</v>
      </c>
      <c r="I368" s="30" t="s">
        <v>2015</v>
      </c>
      <c r="J368" s="30" t="s">
        <v>2015</v>
      </c>
      <c r="K368" s="30" t="s">
        <v>2018</v>
      </c>
      <c r="L368" s="30" t="s">
        <v>2017</v>
      </c>
      <c r="M368" s="30" t="s">
        <v>2018</v>
      </c>
      <c r="N368" s="30" t="s">
        <v>2018</v>
      </c>
      <c r="O368" s="30" t="s">
        <v>2015</v>
      </c>
      <c r="P368" s="32">
        <v>509</v>
      </c>
      <c r="Q368" s="32">
        <v>286</v>
      </c>
      <c r="R368" s="32">
        <v>56</v>
      </c>
      <c r="S368" s="32">
        <v>35</v>
      </c>
      <c r="T368" s="32">
        <v>16</v>
      </c>
      <c r="U368" s="32">
        <v>36</v>
      </c>
      <c r="V368" s="32">
        <v>23</v>
      </c>
      <c r="W368" s="32">
        <v>12</v>
      </c>
      <c r="X368" s="32">
        <v>92</v>
      </c>
      <c r="Y368" s="32">
        <v>58</v>
      </c>
      <c r="Z368" s="32">
        <v>28</v>
      </c>
      <c r="AA368" s="32">
        <v>179</v>
      </c>
      <c r="AB368" s="32">
        <v>112</v>
      </c>
      <c r="AC368" s="32">
        <v>51</v>
      </c>
      <c r="AD368" s="32">
        <v>47</v>
      </c>
      <c r="AE368" s="32">
        <v>30</v>
      </c>
      <c r="AF368" s="32">
        <v>16</v>
      </c>
      <c r="AG368" s="32">
        <v>226</v>
      </c>
      <c r="AH368" s="32">
        <v>142</v>
      </c>
      <c r="AI368" s="32">
        <v>67</v>
      </c>
      <c r="AJ368" s="32">
        <v>226</v>
      </c>
      <c r="AK368" s="32">
        <v>515</v>
      </c>
      <c r="AL368" s="32">
        <v>43.9</v>
      </c>
    </row>
    <row r="369" spans="1:38" ht="13.5" hidden="1" customHeight="1">
      <c r="A369" s="30" t="s">
        <v>2272</v>
      </c>
      <c r="B369" s="30" t="s">
        <v>2273</v>
      </c>
      <c r="C369" s="30" t="s">
        <v>235</v>
      </c>
      <c r="D369" s="30" t="s">
        <v>2012</v>
      </c>
      <c r="E369" s="30" t="s">
        <v>2032</v>
      </c>
      <c r="F369" s="30" t="s">
        <v>2033</v>
      </c>
      <c r="G369" s="30"/>
      <c r="H369" s="30" t="s">
        <v>2505</v>
      </c>
      <c r="I369" s="30" t="s">
        <v>2015</v>
      </c>
      <c r="J369" s="30" t="s">
        <v>2015</v>
      </c>
      <c r="K369" s="30" t="s">
        <v>2018</v>
      </c>
      <c r="L369" s="30" t="s">
        <v>2017</v>
      </c>
      <c r="M369" s="30" t="s">
        <v>2018</v>
      </c>
      <c r="N369" s="30" t="s">
        <v>2018</v>
      </c>
      <c r="O369" s="30" t="s">
        <v>2015</v>
      </c>
      <c r="P369" s="32">
        <v>897</v>
      </c>
      <c r="Q369" s="32">
        <v>932</v>
      </c>
      <c r="R369" s="32">
        <v>78</v>
      </c>
      <c r="S369" s="32">
        <v>42</v>
      </c>
      <c r="T369" s="32">
        <v>13</v>
      </c>
      <c r="U369" s="32">
        <v>78</v>
      </c>
      <c r="V369" s="32">
        <v>60</v>
      </c>
      <c r="W369" s="32">
        <v>37</v>
      </c>
      <c r="X369" s="32">
        <v>156</v>
      </c>
      <c r="Y369" s="32">
        <v>102</v>
      </c>
      <c r="Z369" s="32">
        <v>50</v>
      </c>
      <c r="AA369" s="32">
        <v>203</v>
      </c>
      <c r="AB369" s="32">
        <v>109</v>
      </c>
      <c r="AC369" s="32">
        <v>34</v>
      </c>
      <c r="AD369" s="32">
        <v>94</v>
      </c>
      <c r="AE369" s="32">
        <v>72</v>
      </c>
      <c r="AF369" s="32">
        <v>44</v>
      </c>
      <c r="AG369" s="32">
        <v>297</v>
      </c>
      <c r="AH369" s="32">
        <v>181</v>
      </c>
      <c r="AI369" s="32">
        <v>78</v>
      </c>
      <c r="AJ369" s="32">
        <v>297</v>
      </c>
      <c r="AK369" s="32">
        <v>900</v>
      </c>
      <c r="AL369" s="32">
        <v>33</v>
      </c>
    </row>
    <row r="370" spans="1:38" ht="13.5" hidden="1" customHeight="1">
      <c r="A370" s="30" t="s">
        <v>2272</v>
      </c>
      <c r="B370" s="30" t="s">
        <v>2273</v>
      </c>
      <c r="C370" s="30" t="s">
        <v>235</v>
      </c>
      <c r="D370" s="30" t="s">
        <v>2012</v>
      </c>
      <c r="E370" s="30" t="s">
        <v>2032</v>
      </c>
      <c r="F370" s="30" t="s">
        <v>2033</v>
      </c>
      <c r="G370" s="30"/>
      <c r="H370" s="30" t="s">
        <v>2506</v>
      </c>
      <c r="I370" s="30" t="s">
        <v>2015</v>
      </c>
      <c r="J370" s="30" t="s">
        <v>2015</v>
      </c>
      <c r="K370" s="30" t="s">
        <v>2018</v>
      </c>
      <c r="L370" s="30" t="s">
        <v>2017</v>
      </c>
      <c r="M370" s="30" t="s">
        <v>2018</v>
      </c>
      <c r="N370" s="30" t="s">
        <v>2018</v>
      </c>
      <c r="O370" s="30" t="s">
        <v>2015</v>
      </c>
      <c r="P370" s="32">
        <v>684</v>
      </c>
      <c r="Q370" s="32">
        <v>912</v>
      </c>
      <c r="R370" s="32">
        <v>64</v>
      </c>
      <c r="S370" s="32">
        <v>20</v>
      </c>
      <c r="T370" s="32">
        <v>9</v>
      </c>
      <c r="U370" s="32">
        <v>62</v>
      </c>
      <c r="V370" s="32">
        <v>34</v>
      </c>
      <c r="W370" s="32">
        <v>10</v>
      </c>
      <c r="X370" s="32">
        <v>126</v>
      </c>
      <c r="Y370" s="32">
        <v>54</v>
      </c>
      <c r="Z370" s="32">
        <v>19</v>
      </c>
      <c r="AA370" s="32">
        <v>160</v>
      </c>
      <c r="AB370" s="32">
        <v>50</v>
      </c>
      <c r="AC370" s="32">
        <v>23</v>
      </c>
      <c r="AD370" s="32">
        <v>68</v>
      </c>
      <c r="AE370" s="32">
        <v>37</v>
      </c>
      <c r="AF370" s="32">
        <v>11</v>
      </c>
      <c r="AG370" s="32">
        <v>228</v>
      </c>
      <c r="AH370" s="32">
        <v>87</v>
      </c>
      <c r="AI370" s="32">
        <v>34</v>
      </c>
      <c r="AJ370" s="32">
        <v>228</v>
      </c>
      <c r="AK370" s="32">
        <v>677</v>
      </c>
      <c r="AL370" s="32">
        <v>33.700000000000003</v>
      </c>
    </row>
    <row r="371" spans="1:38" ht="13.5" hidden="1" customHeight="1">
      <c r="A371" s="30" t="s">
        <v>2272</v>
      </c>
      <c r="B371" s="30" t="s">
        <v>2273</v>
      </c>
      <c r="C371" s="30" t="s">
        <v>235</v>
      </c>
      <c r="D371" s="30" t="s">
        <v>2012</v>
      </c>
      <c r="E371" s="30" t="s">
        <v>2032</v>
      </c>
      <c r="F371" s="30" t="s">
        <v>2033</v>
      </c>
      <c r="G371" s="30"/>
      <c r="H371" s="30" t="s">
        <v>2507</v>
      </c>
      <c r="I371" s="30" t="s">
        <v>2015</v>
      </c>
      <c r="J371" s="30" t="s">
        <v>2015</v>
      </c>
      <c r="K371" s="30" t="s">
        <v>2018</v>
      </c>
      <c r="L371" s="30" t="s">
        <v>2017</v>
      </c>
      <c r="M371" s="30" t="s">
        <v>2018</v>
      </c>
      <c r="N371" s="30" t="s">
        <v>2018</v>
      </c>
      <c r="O371" s="30" t="s">
        <v>2015</v>
      </c>
      <c r="P371" s="32">
        <v>4916</v>
      </c>
      <c r="Q371" s="32">
        <v>2360</v>
      </c>
      <c r="R371" s="32">
        <v>539</v>
      </c>
      <c r="S371" s="32">
        <v>281</v>
      </c>
      <c r="T371" s="32">
        <v>128</v>
      </c>
      <c r="U371" s="32">
        <v>439</v>
      </c>
      <c r="V371" s="32">
        <v>311</v>
      </c>
      <c r="W371" s="32">
        <v>180</v>
      </c>
      <c r="X371" s="32">
        <v>978</v>
      </c>
      <c r="Y371" s="32">
        <v>592</v>
      </c>
      <c r="Z371" s="32">
        <v>308</v>
      </c>
      <c r="AA371" s="32">
        <v>1606</v>
      </c>
      <c r="AB371" s="32">
        <v>829</v>
      </c>
      <c r="AC371" s="32">
        <v>372</v>
      </c>
      <c r="AD371" s="32">
        <v>545</v>
      </c>
      <c r="AE371" s="32">
        <v>388</v>
      </c>
      <c r="AF371" s="32">
        <v>222</v>
      </c>
      <c r="AG371" s="32">
        <v>2151</v>
      </c>
      <c r="AH371" s="32">
        <v>1217</v>
      </c>
      <c r="AI371" s="32">
        <v>594</v>
      </c>
      <c r="AJ371" s="32">
        <v>2151</v>
      </c>
      <c r="AK371" s="32">
        <v>4855</v>
      </c>
      <c r="AL371" s="32">
        <v>44.3</v>
      </c>
    </row>
    <row r="372" spans="1:38" ht="13.5" hidden="1" customHeight="1">
      <c r="A372" s="30" t="s">
        <v>2272</v>
      </c>
      <c r="B372" s="30" t="s">
        <v>2273</v>
      </c>
      <c r="C372" s="30" t="s">
        <v>235</v>
      </c>
      <c r="D372" s="30" t="s">
        <v>2012</v>
      </c>
      <c r="E372" s="30" t="s">
        <v>2032</v>
      </c>
      <c r="F372" s="30" t="s">
        <v>2033</v>
      </c>
      <c r="G372" s="30"/>
      <c r="H372" s="30" t="s">
        <v>2508</v>
      </c>
      <c r="I372" s="30" t="s">
        <v>2015</v>
      </c>
      <c r="J372" s="30" t="s">
        <v>2015</v>
      </c>
      <c r="K372" s="30" t="s">
        <v>2018</v>
      </c>
      <c r="L372" s="30" t="s">
        <v>2017</v>
      </c>
      <c r="M372" s="30" t="s">
        <v>2018</v>
      </c>
      <c r="N372" s="30" t="s">
        <v>2018</v>
      </c>
      <c r="O372" s="30" t="s">
        <v>2015</v>
      </c>
      <c r="P372" s="32">
        <v>745</v>
      </c>
      <c r="Q372" s="32">
        <v>510</v>
      </c>
      <c r="R372" s="32">
        <v>71</v>
      </c>
      <c r="S372" s="32">
        <v>31</v>
      </c>
      <c r="T372" s="32">
        <v>10</v>
      </c>
      <c r="U372" s="32">
        <v>46</v>
      </c>
      <c r="V372" s="32">
        <v>27</v>
      </c>
      <c r="W372" s="32">
        <v>10</v>
      </c>
      <c r="X372" s="32">
        <v>117</v>
      </c>
      <c r="Y372" s="32">
        <v>58</v>
      </c>
      <c r="Z372" s="32">
        <v>20</v>
      </c>
      <c r="AA372" s="32">
        <v>199</v>
      </c>
      <c r="AB372" s="32">
        <v>87</v>
      </c>
      <c r="AC372" s="32">
        <v>28</v>
      </c>
      <c r="AD372" s="32">
        <v>51</v>
      </c>
      <c r="AE372" s="32">
        <v>30</v>
      </c>
      <c r="AF372" s="32">
        <v>11</v>
      </c>
      <c r="AG372" s="32">
        <v>250</v>
      </c>
      <c r="AH372" s="32">
        <v>117</v>
      </c>
      <c r="AI372" s="32">
        <v>39</v>
      </c>
      <c r="AJ372" s="32">
        <v>250</v>
      </c>
      <c r="AK372" s="32">
        <v>732</v>
      </c>
      <c r="AL372" s="32">
        <v>34.200000000000003</v>
      </c>
    </row>
    <row r="373" spans="1:38" ht="13.5" hidden="1" customHeight="1">
      <c r="A373" s="30" t="s">
        <v>2272</v>
      </c>
      <c r="B373" s="30" t="s">
        <v>2273</v>
      </c>
      <c r="C373" s="30" t="s">
        <v>235</v>
      </c>
      <c r="D373" s="30" t="s">
        <v>2012</v>
      </c>
      <c r="E373" s="30" t="s">
        <v>2032</v>
      </c>
      <c r="F373" s="30" t="s">
        <v>2033</v>
      </c>
      <c r="G373" s="30"/>
      <c r="H373" s="30" t="s">
        <v>2509</v>
      </c>
      <c r="I373" s="30" t="s">
        <v>2015</v>
      </c>
      <c r="J373" s="30" t="s">
        <v>2015</v>
      </c>
      <c r="K373" s="30" t="s">
        <v>2018</v>
      </c>
      <c r="L373" s="30" t="s">
        <v>2017</v>
      </c>
      <c r="M373" s="30" t="s">
        <v>2018</v>
      </c>
      <c r="N373" s="30" t="s">
        <v>2018</v>
      </c>
      <c r="O373" s="30" t="s">
        <v>2015</v>
      </c>
      <c r="P373" s="32">
        <v>2273</v>
      </c>
      <c r="Q373" s="32">
        <v>954</v>
      </c>
      <c r="R373" s="32">
        <v>222</v>
      </c>
      <c r="S373" s="32">
        <v>136</v>
      </c>
      <c r="T373" s="32">
        <v>50</v>
      </c>
      <c r="U373" s="32">
        <v>139</v>
      </c>
      <c r="V373" s="32">
        <v>83</v>
      </c>
      <c r="W373" s="32">
        <v>40</v>
      </c>
      <c r="X373" s="32">
        <v>361</v>
      </c>
      <c r="Y373" s="32">
        <v>219</v>
      </c>
      <c r="Z373" s="32">
        <v>90</v>
      </c>
      <c r="AA373" s="32">
        <v>675</v>
      </c>
      <c r="AB373" s="32">
        <v>411</v>
      </c>
      <c r="AC373" s="32">
        <v>151</v>
      </c>
      <c r="AD373" s="32">
        <v>181</v>
      </c>
      <c r="AE373" s="32">
        <v>109</v>
      </c>
      <c r="AF373" s="32">
        <v>52</v>
      </c>
      <c r="AG373" s="32">
        <v>856</v>
      </c>
      <c r="AH373" s="32">
        <v>520</v>
      </c>
      <c r="AI373" s="32">
        <v>203</v>
      </c>
      <c r="AJ373" s="32">
        <v>856</v>
      </c>
      <c r="AK373" s="32">
        <v>2225</v>
      </c>
      <c r="AL373" s="32">
        <v>38.5</v>
      </c>
    </row>
    <row r="374" spans="1:38" ht="13.5" hidden="1" customHeight="1">
      <c r="A374" s="30" t="s">
        <v>2272</v>
      </c>
      <c r="B374" s="30" t="s">
        <v>2273</v>
      </c>
      <c r="C374" s="30" t="s">
        <v>235</v>
      </c>
      <c r="D374" s="30" t="s">
        <v>2012</v>
      </c>
      <c r="E374" s="30" t="s">
        <v>2032</v>
      </c>
      <c r="F374" s="30" t="s">
        <v>2033</v>
      </c>
      <c r="G374" s="30"/>
      <c r="H374" s="30" t="s">
        <v>2510</v>
      </c>
      <c r="I374" s="30" t="s">
        <v>2015</v>
      </c>
      <c r="J374" s="30" t="s">
        <v>2015</v>
      </c>
      <c r="K374" s="30" t="s">
        <v>2018</v>
      </c>
      <c r="L374" s="30" t="s">
        <v>2017</v>
      </c>
      <c r="M374" s="30" t="s">
        <v>2018</v>
      </c>
      <c r="N374" s="30" t="s">
        <v>2018</v>
      </c>
      <c r="O374" s="30" t="s">
        <v>2015</v>
      </c>
      <c r="P374" s="32">
        <v>3603</v>
      </c>
      <c r="Q374" s="32">
        <v>1612</v>
      </c>
      <c r="R374" s="32">
        <v>315</v>
      </c>
      <c r="S374" s="32">
        <v>109</v>
      </c>
      <c r="T374" s="32">
        <v>43</v>
      </c>
      <c r="U374" s="32">
        <v>360</v>
      </c>
      <c r="V374" s="32">
        <v>189</v>
      </c>
      <c r="W374" s="32">
        <v>91</v>
      </c>
      <c r="X374" s="32">
        <v>675</v>
      </c>
      <c r="Y374" s="32">
        <v>298</v>
      </c>
      <c r="Z374" s="32">
        <v>134</v>
      </c>
      <c r="AA374" s="32">
        <v>972</v>
      </c>
      <c r="AB374" s="32">
        <v>344</v>
      </c>
      <c r="AC374" s="32">
        <v>129</v>
      </c>
      <c r="AD374" s="32">
        <v>436</v>
      </c>
      <c r="AE374" s="32">
        <v>219</v>
      </c>
      <c r="AF374" s="32">
        <v>100</v>
      </c>
      <c r="AG374" s="32">
        <v>1408</v>
      </c>
      <c r="AH374" s="32">
        <v>563</v>
      </c>
      <c r="AI374" s="32">
        <v>229</v>
      </c>
      <c r="AJ374" s="32">
        <v>1408</v>
      </c>
      <c r="AK374" s="32">
        <v>3576</v>
      </c>
      <c r="AL374" s="32">
        <v>39.4</v>
      </c>
    </row>
    <row r="375" spans="1:38" ht="13.5" hidden="1" customHeight="1">
      <c r="A375" s="30" t="s">
        <v>2272</v>
      </c>
      <c r="B375" s="30" t="s">
        <v>2273</v>
      </c>
      <c r="C375" s="30" t="s">
        <v>235</v>
      </c>
      <c r="D375" s="30" t="s">
        <v>2012</v>
      </c>
      <c r="E375" s="30" t="s">
        <v>2034</v>
      </c>
      <c r="F375" s="30" t="s">
        <v>2035</v>
      </c>
      <c r="G375" s="30"/>
      <c r="H375" s="30" t="s">
        <v>2511</v>
      </c>
      <c r="I375" s="30" t="s">
        <v>2015</v>
      </c>
      <c r="J375" s="30" t="s">
        <v>2015</v>
      </c>
      <c r="K375" s="30" t="s">
        <v>2018</v>
      </c>
      <c r="L375" s="30" t="s">
        <v>2017</v>
      </c>
      <c r="M375" s="30" t="s">
        <v>2018</v>
      </c>
      <c r="N375" s="30" t="s">
        <v>2018</v>
      </c>
      <c r="O375" s="30" t="s">
        <v>2015</v>
      </c>
      <c r="P375" s="32">
        <v>864</v>
      </c>
      <c r="Q375" s="32">
        <v>553</v>
      </c>
      <c r="R375" s="32">
        <v>80</v>
      </c>
      <c r="S375" s="32">
        <v>40</v>
      </c>
      <c r="T375" s="32">
        <v>14</v>
      </c>
      <c r="U375" s="32">
        <v>65</v>
      </c>
      <c r="V375" s="32">
        <v>43</v>
      </c>
      <c r="W375" s="32">
        <v>31</v>
      </c>
      <c r="X375" s="32">
        <v>145</v>
      </c>
      <c r="Y375" s="32">
        <v>83</v>
      </c>
      <c r="Z375" s="32">
        <v>45</v>
      </c>
      <c r="AA375" s="32">
        <v>232</v>
      </c>
      <c r="AB375" s="32">
        <v>116</v>
      </c>
      <c r="AC375" s="32">
        <v>41</v>
      </c>
      <c r="AD375" s="32">
        <v>78</v>
      </c>
      <c r="AE375" s="32">
        <v>52</v>
      </c>
      <c r="AF375" s="32">
        <v>37</v>
      </c>
      <c r="AG375" s="32">
        <v>310</v>
      </c>
      <c r="AH375" s="32">
        <v>168</v>
      </c>
      <c r="AI375" s="32">
        <v>78</v>
      </c>
      <c r="AJ375" s="32">
        <v>310</v>
      </c>
      <c r="AK375" s="32">
        <v>849</v>
      </c>
      <c r="AL375" s="32">
        <v>36.5</v>
      </c>
    </row>
    <row r="376" spans="1:38" ht="13.5" hidden="1" customHeight="1">
      <c r="A376" s="30" t="s">
        <v>2272</v>
      </c>
      <c r="B376" s="30" t="s">
        <v>2273</v>
      </c>
      <c r="C376" s="30" t="s">
        <v>235</v>
      </c>
      <c r="D376" s="30" t="s">
        <v>2012</v>
      </c>
      <c r="E376" s="30" t="s">
        <v>2034</v>
      </c>
      <c r="F376" s="30" t="s">
        <v>2035</v>
      </c>
      <c r="G376" s="30"/>
      <c r="H376" s="30" t="s">
        <v>2512</v>
      </c>
      <c r="I376" s="30" t="s">
        <v>2015</v>
      </c>
      <c r="J376" s="30" t="s">
        <v>2015</v>
      </c>
      <c r="K376" s="30" t="s">
        <v>2018</v>
      </c>
      <c r="L376" s="30" t="s">
        <v>2017</v>
      </c>
      <c r="M376" s="30" t="s">
        <v>2018</v>
      </c>
      <c r="N376" s="30" t="s">
        <v>2018</v>
      </c>
      <c r="O376" s="30" t="s">
        <v>2015</v>
      </c>
      <c r="P376" s="32">
        <v>2411</v>
      </c>
      <c r="Q376" s="32">
        <v>1448</v>
      </c>
      <c r="R376" s="32">
        <v>234</v>
      </c>
      <c r="S376" s="32">
        <v>110</v>
      </c>
      <c r="T376" s="32">
        <v>46</v>
      </c>
      <c r="U376" s="32">
        <v>225</v>
      </c>
      <c r="V376" s="32">
        <v>157</v>
      </c>
      <c r="W376" s="32">
        <v>63</v>
      </c>
      <c r="X376" s="32">
        <v>459</v>
      </c>
      <c r="Y376" s="32">
        <v>267</v>
      </c>
      <c r="Z376" s="32">
        <v>109</v>
      </c>
      <c r="AA376" s="32">
        <v>664</v>
      </c>
      <c r="AB376" s="32">
        <v>312</v>
      </c>
      <c r="AC376" s="32">
        <v>131</v>
      </c>
      <c r="AD376" s="32">
        <v>270</v>
      </c>
      <c r="AE376" s="32">
        <v>191</v>
      </c>
      <c r="AF376" s="32">
        <v>78</v>
      </c>
      <c r="AG376" s="32">
        <v>934</v>
      </c>
      <c r="AH376" s="32">
        <v>503</v>
      </c>
      <c r="AI376" s="32">
        <v>209</v>
      </c>
      <c r="AJ376" s="32">
        <v>934</v>
      </c>
      <c r="AK376" s="32">
        <v>2419</v>
      </c>
      <c r="AL376" s="32">
        <v>38.6</v>
      </c>
    </row>
    <row r="377" spans="1:38" ht="13.5" hidden="1" customHeight="1">
      <c r="A377" s="30" t="s">
        <v>2272</v>
      </c>
      <c r="B377" s="30" t="s">
        <v>2273</v>
      </c>
      <c r="C377" s="30" t="s">
        <v>235</v>
      </c>
      <c r="D377" s="30" t="s">
        <v>2012</v>
      </c>
      <c r="E377" s="30" t="s">
        <v>2034</v>
      </c>
      <c r="F377" s="30" t="s">
        <v>2035</v>
      </c>
      <c r="G377" s="30"/>
      <c r="H377" s="30" t="s">
        <v>2513</v>
      </c>
      <c r="I377" s="30" t="s">
        <v>2015</v>
      </c>
      <c r="J377" s="30" t="s">
        <v>2015</v>
      </c>
      <c r="K377" s="30" t="s">
        <v>2018</v>
      </c>
      <c r="L377" s="30" t="s">
        <v>2017</v>
      </c>
      <c r="M377" s="30" t="s">
        <v>2018</v>
      </c>
      <c r="N377" s="30" t="s">
        <v>2018</v>
      </c>
      <c r="O377" s="30" t="s">
        <v>2015</v>
      </c>
      <c r="P377" s="32">
        <v>1251</v>
      </c>
      <c r="Q377" s="32">
        <v>788</v>
      </c>
      <c r="R377" s="32">
        <v>112</v>
      </c>
      <c r="S377" s="32">
        <v>46</v>
      </c>
      <c r="T377" s="32">
        <v>15</v>
      </c>
      <c r="U377" s="32">
        <v>97</v>
      </c>
      <c r="V377" s="32">
        <v>72</v>
      </c>
      <c r="W377" s="32">
        <v>53</v>
      </c>
      <c r="X377" s="32">
        <v>209</v>
      </c>
      <c r="Y377" s="32">
        <v>118</v>
      </c>
      <c r="Z377" s="32">
        <v>68</v>
      </c>
      <c r="AA377" s="32">
        <v>336</v>
      </c>
      <c r="AB377" s="32">
        <v>138</v>
      </c>
      <c r="AC377" s="32">
        <v>45</v>
      </c>
      <c r="AD377" s="32">
        <v>136</v>
      </c>
      <c r="AE377" s="32">
        <v>101</v>
      </c>
      <c r="AF377" s="32">
        <v>74</v>
      </c>
      <c r="AG377" s="32">
        <v>472</v>
      </c>
      <c r="AH377" s="32">
        <v>239</v>
      </c>
      <c r="AI377" s="32">
        <v>119</v>
      </c>
      <c r="AJ377" s="32">
        <v>472</v>
      </c>
      <c r="AK377" s="32">
        <v>1251</v>
      </c>
      <c r="AL377" s="32">
        <v>37.700000000000003</v>
      </c>
    </row>
    <row r="378" spans="1:38" ht="13.5" hidden="1" customHeight="1">
      <c r="A378" s="30" t="s">
        <v>2272</v>
      </c>
      <c r="B378" s="30" t="s">
        <v>2273</v>
      </c>
      <c r="C378" s="30" t="s">
        <v>235</v>
      </c>
      <c r="D378" s="30" t="s">
        <v>2012</v>
      </c>
      <c r="E378" s="30" t="s">
        <v>2034</v>
      </c>
      <c r="F378" s="30" t="s">
        <v>2035</v>
      </c>
      <c r="G378" s="30"/>
      <c r="H378" s="30" t="s">
        <v>2514</v>
      </c>
      <c r="I378" s="30" t="s">
        <v>2015</v>
      </c>
      <c r="J378" s="30" t="s">
        <v>2015</v>
      </c>
      <c r="K378" s="30" t="s">
        <v>2018</v>
      </c>
      <c r="L378" s="30" t="s">
        <v>2017</v>
      </c>
      <c r="M378" s="30" t="s">
        <v>2018</v>
      </c>
      <c r="N378" s="30" t="s">
        <v>2018</v>
      </c>
      <c r="O378" s="30" t="s">
        <v>2015</v>
      </c>
      <c r="P378" s="32">
        <v>1723</v>
      </c>
      <c r="Q378" s="32">
        <v>715</v>
      </c>
      <c r="R378" s="32">
        <v>145</v>
      </c>
      <c r="S378" s="32">
        <v>57</v>
      </c>
      <c r="T378" s="32">
        <v>24</v>
      </c>
      <c r="U378" s="32">
        <v>95</v>
      </c>
      <c r="V378" s="32">
        <v>54</v>
      </c>
      <c r="W378" s="32">
        <v>29</v>
      </c>
      <c r="X378" s="32">
        <v>240</v>
      </c>
      <c r="Y378" s="32">
        <v>111</v>
      </c>
      <c r="Z378" s="32">
        <v>53</v>
      </c>
      <c r="AA378" s="32">
        <v>435</v>
      </c>
      <c r="AB378" s="32">
        <v>171</v>
      </c>
      <c r="AC378" s="32">
        <v>72</v>
      </c>
      <c r="AD378" s="32">
        <v>133</v>
      </c>
      <c r="AE378" s="32">
        <v>76</v>
      </c>
      <c r="AF378" s="32">
        <v>41</v>
      </c>
      <c r="AG378" s="32">
        <v>568</v>
      </c>
      <c r="AH378" s="32">
        <v>247</v>
      </c>
      <c r="AI378" s="32">
        <v>113</v>
      </c>
      <c r="AJ378" s="32">
        <v>568</v>
      </c>
      <c r="AK378" s="32">
        <v>1723</v>
      </c>
      <c r="AL378" s="32">
        <v>33</v>
      </c>
    </row>
    <row r="379" spans="1:38" ht="13.5" hidden="1" customHeight="1">
      <c r="A379" s="30" t="s">
        <v>2272</v>
      </c>
      <c r="B379" s="30" t="s">
        <v>2273</v>
      </c>
      <c r="C379" s="30" t="s">
        <v>235</v>
      </c>
      <c r="D379" s="30" t="s">
        <v>2012</v>
      </c>
      <c r="E379" s="30" t="s">
        <v>2034</v>
      </c>
      <c r="F379" s="30" t="s">
        <v>2035</v>
      </c>
      <c r="G379" s="30"/>
      <c r="H379" s="30" t="s">
        <v>2515</v>
      </c>
      <c r="I379" s="30" t="s">
        <v>2015</v>
      </c>
      <c r="J379" s="30" t="s">
        <v>2015</v>
      </c>
      <c r="K379" s="30" t="s">
        <v>2018</v>
      </c>
      <c r="L379" s="30" t="s">
        <v>2017</v>
      </c>
      <c r="M379" s="30" t="s">
        <v>2018</v>
      </c>
      <c r="N379" s="30" t="s">
        <v>2018</v>
      </c>
      <c r="O379" s="30" t="s">
        <v>2015</v>
      </c>
      <c r="P379" s="32">
        <v>121</v>
      </c>
      <c r="Q379" s="32">
        <v>199</v>
      </c>
      <c r="R379" s="32">
        <v>15</v>
      </c>
      <c r="S379" s="32">
        <v>9</v>
      </c>
      <c r="T379" s="32">
        <v>2</v>
      </c>
      <c r="U379" s="32">
        <v>2</v>
      </c>
      <c r="V379" s="32">
        <v>1</v>
      </c>
      <c r="W379" s="32">
        <v>0</v>
      </c>
      <c r="X379" s="32">
        <v>17</v>
      </c>
      <c r="Y379" s="32">
        <v>10</v>
      </c>
      <c r="Z379" s="32">
        <v>2</v>
      </c>
      <c r="AA379" s="32">
        <v>36</v>
      </c>
      <c r="AB379" s="32">
        <v>22</v>
      </c>
      <c r="AC379" s="32">
        <v>5</v>
      </c>
      <c r="AD379" s="32">
        <v>3</v>
      </c>
      <c r="AE379" s="32">
        <v>1</v>
      </c>
      <c r="AF379" s="32">
        <v>0</v>
      </c>
      <c r="AG379" s="32">
        <v>39</v>
      </c>
      <c r="AH379" s="32">
        <v>23</v>
      </c>
      <c r="AI379" s="32">
        <v>5</v>
      </c>
      <c r="AJ379" s="32">
        <v>39</v>
      </c>
      <c r="AK379" s="32">
        <v>86</v>
      </c>
      <c r="AL379" s="32">
        <v>45.3</v>
      </c>
    </row>
    <row r="380" spans="1:38" ht="13.5" hidden="1" customHeight="1">
      <c r="A380" s="30" t="s">
        <v>2272</v>
      </c>
      <c r="B380" s="30" t="s">
        <v>2273</v>
      </c>
      <c r="C380" s="30" t="s">
        <v>235</v>
      </c>
      <c r="D380" s="30" t="s">
        <v>2012</v>
      </c>
      <c r="E380" s="30" t="s">
        <v>2034</v>
      </c>
      <c r="F380" s="30" t="s">
        <v>2035</v>
      </c>
      <c r="G380" s="30"/>
      <c r="H380" s="30" t="s">
        <v>2516</v>
      </c>
      <c r="I380" s="30" t="s">
        <v>2015</v>
      </c>
      <c r="J380" s="30" t="s">
        <v>2015</v>
      </c>
      <c r="K380" s="30" t="s">
        <v>2018</v>
      </c>
      <c r="L380" s="30" t="s">
        <v>2017</v>
      </c>
      <c r="M380" s="30" t="s">
        <v>2018</v>
      </c>
      <c r="N380" s="30" t="s">
        <v>2018</v>
      </c>
      <c r="O380" s="30" t="s">
        <v>2015</v>
      </c>
      <c r="P380" s="32">
        <v>1121</v>
      </c>
      <c r="Q380" s="32">
        <v>476</v>
      </c>
      <c r="R380" s="32">
        <v>110</v>
      </c>
      <c r="S380" s="32">
        <v>66</v>
      </c>
      <c r="T380" s="32">
        <v>29</v>
      </c>
      <c r="U380" s="32">
        <v>88</v>
      </c>
      <c r="V380" s="32">
        <v>77</v>
      </c>
      <c r="W380" s="32">
        <v>49</v>
      </c>
      <c r="X380" s="32">
        <v>198</v>
      </c>
      <c r="Y380" s="32">
        <v>143</v>
      </c>
      <c r="Z380" s="32">
        <v>78</v>
      </c>
      <c r="AA380" s="32">
        <v>352</v>
      </c>
      <c r="AB380" s="32">
        <v>211</v>
      </c>
      <c r="AC380" s="32">
        <v>93</v>
      </c>
      <c r="AD380" s="32">
        <v>106</v>
      </c>
      <c r="AE380" s="32">
        <v>92</v>
      </c>
      <c r="AF380" s="32">
        <v>59</v>
      </c>
      <c r="AG380" s="32">
        <v>458</v>
      </c>
      <c r="AH380" s="32">
        <v>303</v>
      </c>
      <c r="AI380" s="32">
        <v>152</v>
      </c>
      <c r="AJ380" s="32">
        <v>458</v>
      </c>
      <c r="AK380" s="32">
        <v>1016</v>
      </c>
      <c r="AL380" s="32">
        <v>45.1</v>
      </c>
    </row>
    <row r="381" spans="1:38" ht="13.5" hidden="1" customHeight="1">
      <c r="A381" s="30" t="s">
        <v>2272</v>
      </c>
      <c r="B381" s="30" t="s">
        <v>2273</v>
      </c>
      <c r="C381" s="30" t="s">
        <v>235</v>
      </c>
      <c r="D381" s="30" t="s">
        <v>2012</v>
      </c>
      <c r="E381" s="30" t="s">
        <v>2034</v>
      </c>
      <c r="F381" s="30" t="s">
        <v>2035</v>
      </c>
      <c r="G381" s="30"/>
      <c r="H381" s="30" t="s">
        <v>2517</v>
      </c>
      <c r="I381" s="30" t="s">
        <v>2015</v>
      </c>
      <c r="J381" s="30" t="s">
        <v>2015</v>
      </c>
      <c r="K381" s="30" t="s">
        <v>2018</v>
      </c>
      <c r="L381" s="30" t="s">
        <v>2017</v>
      </c>
      <c r="M381" s="30" t="s">
        <v>2018</v>
      </c>
      <c r="N381" s="30" t="s">
        <v>2018</v>
      </c>
      <c r="O381" s="30" t="s">
        <v>2015</v>
      </c>
      <c r="P381" s="32">
        <v>1004</v>
      </c>
      <c r="Q381" s="32">
        <v>969</v>
      </c>
      <c r="R381" s="32">
        <v>87</v>
      </c>
      <c r="S381" s="32">
        <v>33</v>
      </c>
      <c r="T381" s="32">
        <v>13</v>
      </c>
      <c r="U381" s="32">
        <v>76</v>
      </c>
      <c r="V381" s="32">
        <v>42</v>
      </c>
      <c r="W381" s="32">
        <v>23</v>
      </c>
      <c r="X381" s="32">
        <v>163</v>
      </c>
      <c r="Y381" s="32">
        <v>75</v>
      </c>
      <c r="Z381" s="32">
        <v>36</v>
      </c>
      <c r="AA381" s="32">
        <v>252</v>
      </c>
      <c r="AB381" s="32">
        <v>96</v>
      </c>
      <c r="AC381" s="32">
        <v>38</v>
      </c>
      <c r="AD381" s="32">
        <v>106</v>
      </c>
      <c r="AE381" s="32">
        <v>59</v>
      </c>
      <c r="AF381" s="32">
        <v>32</v>
      </c>
      <c r="AG381" s="32">
        <v>358</v>
      </c>
      <c r="AH381" s="32">
        <v>155</v>
      </c>
      <c r="AI381" s="32">
        <v>70</v>
      </c>
      <c r="AJ381" s="32">
        <v>358</v>
      </c>
      <c r="AK381" s="32">
        <v>1004</v>
      </c>
      <c r="AL381" s="32">
        <v>35.700000000000003</v>
      </c>
    </row>
    <row r="382" spans="1:38" ht="13.5" hidden="1" customHeight="1">
      <c r="A382" s="30" t="s">
        <v>2272</v>
      </c>
      <c r="B382" s="30" t="s">
        <v>2273</v>
      </c>
      <c r="C382" s="30" t="s">
        <v>235</v>
      </c>
      <c r="D382" s="30" t="s">
        <v>2012</v>
      </c>
      <c r="E382" s="30" t="s">
        <v>2034</v>
      </c>
      <c r="F382" s="30" t="s">
        <v>2035</v>
      </c>
      <c r="G382" s="30"/>
      <c r="H382" s="30" t="s">
        <v>2518</v>
      </c>
      <c r="I382" s="30" t="s">
        <v>2015</v>
      </c>
      <c r="J382" s="30" t="s">
        <v>2015</v>
      </c>
      <c r="K382" s="30" t="s">
        <v>2018</v>
      </c>
      <c r="L382" s="30" t="s">
        <v>2017</v>
      </c>
      <c r="M382" s="30" t="s">
        <v>2018</v>
      </c>
      <c r="N382" s="30" t="s">
        <v>2018</v>
      </c>
      <c r="O382" s="30" t="s">
        <v>2015</v>
      </c>
      <c r="P382" s="32">
        <v>2514</v>
      </c>
      <c r="Q382" s="32">
        <v>1118</v>
      </c>
      <c r="R382" s="32">
        <v>246</v>
      </c>
      <c r="S382" s="32">
        <v>118</v>
      </c>
      <c r="T382" s="32">
        <v>47</v>
      </c>
      <c r="U382" s="32">
        <v>195</v>
      </c>
      <c r="V382" s="32">
        <v>124</v>
      </c>
      <c r="W382" s="32">
        <v>59</v>
      </c>
      <c r="X382" s="32">
        <v>441</v>
      </c>
      <c r="Y382" s="32">
        <v>242</v>
      </c>
      <c r="Z382" s="32">
        <v>106</v>
      </c>
      <c r="AA382" s="32">
        <v>746</v>
      </c>
      <c r="AB382" s="32">
        <v>360</v>
      </c>
      <c r="AC382" s="32">
        <v>143</v>
      </c>
      <c r="AD382" s="32">
        <v>228</v>
      </c>
      <c r="AE382" s="32">
        <v>144</v>
      </c>
      <c r="AF382" s="32">
        <v>67</v>
      </c>
      <c r="AG382" s="32">
        <v>974</v>
      </c>
      <c r="AH382" s="32">
        <v>504</v>
      </c>
      <c r="AI382" s="32">
        <v>210</v>
      </c>
      <c r="AJ382" s="32">
        <v>974</v>
      </c>
      <c r="AK382" s="32">
        <v>2501</v>
      </c>
      <c r="AL382" s="32">
        <v>38.9</v>
      </c>
    </row>
    <row r="383" spans="1:38" ht="13.5" hidden="1" customHeight="1">
      <c r="A383" s="30" t="s">
        <v>2272</v>
      </c>
      <c r="B383" s="30" t="s">
        <v>2273</v>
      </c>
      <c r="C383" s="30" t="s">
        <v>235</v>
      </c>
      <c r="D383" s="30" t="s">
        <v>2012</v>
      </c>
      <c r="E383" s="30" t="s">
        <v>2034</v>
      </c>
      <c r="F383" s="30" t="s">
        <v>2035</v>
      </c>
      <c r="G383" s="30"/>
      <c r="H383" s="30" t="s">
        <v>2519</v>
      </c>
      <c r="I383" s="30" t="s">
        <v>2015</v>
      </c>
      <c r="J383" s="30" t="s">
        <v>2015</v>
      </c>
      <c r="K383" s="30" t="s">
        <v>2018</v>
      </c>
      <c r="L383" s="30" t="s">
        <v>2017</v>
      </c>
      <c r="M383" s="30" t="s">
        <v>2018</v>
      </c>
      <c r="N383" s="30" t="s">
        <v>2018</v>
      </c>
      <c r="O383" s="30" t="s">
        <v>2015</v>
      </c>
      <c r="P383" s="32">
        <v>3083</v>
      </c>
      <c r="Q383" s="32">
        <v>1648</v>
      </c>
      <c r="R383" s="32">
        <v>250</v>
      </c>
      <c r="S383" s="32">
        <v>134</v>
      </c>
      <c r="T383" s="32">
        <v>66</v>
      </c>
      <c r="U383" s="32">
        <v>248</v>
      </c>
      <c r="V383" s="32">
        <v>163</v>
      </c>
      <c r="W383" s="32">
        <v>82</v>
      </c>
      <c r="X383" s="32">
        <v>498</v>
      </c>
      <c r="Y383" s="32">
        <v>297</v>
      </c>
      <c r="Z383" s="32">
        <v>148</v>
      </c>
      <c r="AA383" s="32">
        <v>746</v>
      </c>
      <c r="AB383" s="32">
        <v>399</v>
      </c>
      <c r="AC383" s="32">
        <v>197</v>
      </c>
      <c r="AD383" s="32">
        <v>301</v>
      </c>
      <c r="AE383" s="32">
        <v>200</v>
      </c>
      <c r="AF383" s="32">
        <v>100</v>
      </c>
      <c r="AG383" s="32">
        <v>1047</v>
      </c>
      <c r="AH383" s="32">
        <v>599</v>
      </c>
      <c r="AI383" s="32">
        <v>297</v>
      </c>
      <c r="AJ383" s="32">
        <v>1047</v>
      </c>
      <c r="AK383" s="32">
        <v>2986</v>
      </c>
      <c r="AL383" s="32">
        <v>35.1</v>
      </c>
    </row>
    <row r="384" spans="1:38" ht="13.5" hidden="1" customHeight="1">
      <c r="A384" s="30" t="s">
        <v>2272</v>
      </c>
      <c r="B384" s="30" t="s">
        <v>2273</v>
      </c>
      <c r="C384" s="30" t="s">
        <v>235</v>
      </c>
      <c r="D384" s="30" t="s">
        <v>2012</v>
      </c>
      <c r="E384" s="30" t="s">
        <v>2034</v>
      </c>
      <c r="F384" s="30" t="s">
        <v>2035</v>
      </c>
      <c r="G384" s="30"/>
      <c r="H384" s="30" t="s">
        <v>2520</v>
      </c>
      <c r="I384" s="30" t="s">
        <v>2015</v>
      </c>
      <c r="J384" s="30" t="s">
        <v>2015</v>
      </c>
      <c r="K384" s="30" t="s">
        <v>2018</v>
      </c>
      <c r="L384" s="30" t="s">
        <v>2017</v>
      </c>
      <c r="M384" s="30" t="s">
        <v>2018</v>
      </c>
      <c r="N384" s="30" t="s">
        <v>2018</v>
      </c>
      <c r="O384" s="30" t="s">
        <v>2015</v>
      </c>
      <c r="P384" s="32">
        <v>156</v>
      </c>
      <c r="Q384" s="32">
        <v>125</v>
      </c>
      <c r="R384" s="32">
        <v>23</v>
      </c>
      <c r="S384" s="32">
        <v>16</v>
      </c>
      <c r="T384" s="32">
        <v>6</v>
      </c>
      <c r="U384" s="32">
        <v>17</v>
      </c>
      <c r="V384" s="32">
        <v>16</v>
      </c>
      <c r="W384" s="32">
        <v>5</v>
      </c>
      <c r="X384" s="32">
        <v>40</v>
      </c>
      <c r="Y384" s="32">
        <v>32</v>
      </c>
      <c r="Z384" s="32">
        <v>11</v>
      </c>
      <c r="AA384" s="32">
        <v>62</v>
      </c>
      <c r="AB384" s="32">
        <v>43</v>
      </c>
      <c r="AC384" s="32">
        <v>16</v>
      </c>
      <c r="AD384" s="32">
        <v>19</v>
      </c>
      <c r="AE384" s="32">
        <v>18</v>
      </c>
      <c r="AF384" s="32">
        <v>6</v>
      </c>
      <c r="AG384" s="32">
        <v>81</v>
      </c>
      <c r="AH384" s="32">
        <v>61</v>
      </c>
      <c r="AI384" s="32">
        <v>22</v>
      </c>
      <c r="AJ384" s="32">
        <v>81</v>
      </c>
      <c r="AK384" s="32">
        <v>167</v>
      </c>
      <c r="AL384" s="32">
        <v>48.5</v>
      </c>
    </row>
    <row r="385" spans="1:38" ht="13.5" hidden="1" customHeight="1">
      <c r="A385" s="30" t="s">
        <v>2272</v>
      </c>
      <c r="B385" s="30" t="s">
        <v>2273</v>
      </c>
      <c r="C385" s="30" t="s">
        <v>235</v>
      </c>
      <c r="D385" s="30" t="s">
        <v>2012</v>
      </c>
      <c r="E385" s="30" t="s">
        <v>2034</v>
      </c>
      <c r="F385" s="30" t="s">
        <v>2035</v>
      </c>
      <c r="G385" s="30"/>
      <c r="H385" s="30" t="s">
        <v>2521</v>
      </c>
      <c r="I385" s="30" t="s">
        <v>2015</v>
      </c>
      <c r="J385" s="30" t="s">
        <v>2015</v>
      </c>
      <c r="K385" s="30" t="s">
        <v>2018</v>
      </c>
      <c r="L385" s="30" t="s">
        <v>2017</v>
      </c>
      <c r="M385" s="30" t="s">
        <v>2018</v>
      </c>
      <c r="N385" s="30" t="s">
        <v>2018</v>
      </c>
      <c r="O385" s="30" t="s">
        <v>2015</v>
      </c>
      <c r="P385" s="32">
        <v>802</v>
      </c>
      <c r="Q385" s="32">
        <v>670</v>
      </c>
      <c r="R385" s="32">
        <v>65</v>
      </c>
      <c r="S385" s="32">
        <v>28</v>
      </c>
      <c r="T385" s="32">
        <v>10</v>
      </c>
      <c r="U385" s="32">
        <v>52</v>
      </c>
      <c r="V385" s="32">
        <v>30</v>
      </c>
      <c r="W385" s="32">
        <v>13</v>
      </c>
      <c r="X385" s="32">
        <v>117</v>
      </c>
      <c r="Y385" s="32">
        <v>58</v>
      </c>
      <c r="Z385" s="32">
        <v>23</v>
      </c>
      <c r="AA385" s="32">
        <v>195</v>
      </c>
      <c r="AB385" s="32">
        <v>84</v>
      </c>
      <c r="AC385" s="32">
        <v>30</v>
      </c>
      <c r="AD385" s="32">
        <v>68</v>
      </c>
      <c r="AE385" s="32">
        <v>39</v>
      </c>
      <c r="AF385" s="32">
        <v>17</v>
      </c>
      <c r="AG385" s="32">
        <v>263</v>
      </c>
      <c r="AH385" s="32">
        <v>123</v>
      </c>
      <c r="AI385" s="32">
        <v>47</v>
      </c>
      <c r="AJ385" s="32">
        <v>263</v>
      </c>
      <c r="AK385" s="32">
        <v>819</v>
      </c>
      <c r="AL385" s="32">
        <v>32.1</v>
      </c>
    </row>
    <row r="386" spans="1:38" ht="13.5" hidden="1" customHeight="1">
      <c r="A386" s="30" t="s">
        <v>2272</v>
      </c>
      <c r="B386" s="30" t="s">
        <v>2273</v>
      </c>
      <c r="C386" s="30" t="s">
        <v>235</v>
      </c>
      <c r="D386" s="30" t="s">
        <v>2012</v>
      </c>
      <c r="E386" s="30" t="s">
        <v>2034</v>
      </c>
      <c r="F386" s="30" t="s">
        <v>2035</v>
      </c>
      <c r="G386" s="30"/>
      <c r="H386" s="30" t="s">
        <v>2522</v>
      </c>
      <c r="I386" s="30" t="s">
        <v>2015</v>
      </c>
      <c r="J386" s="30" t="s">
        <v>2015</v>
      </c>
      <c r="K386" s="30" t="s">
        <v>2018</v>
      </c>
      <c r="L386" s="30" t="s">
        <v>2017</v>
      </c>
      <c r="M386" s="30" t="s">
        <v>2018</v>
      </c>
      <c r="N386" s="30" t="s">
        <v>2018</v>
      </c>
      <c r="O386" s="30" t="s">
        <v>2015</v>
      </c>
      <c r="P386" s="32">
        <v>251</v>
      </c>
      <c r="Q386" s="32">
        <v>207</v>
      </c>
      <c r="R386" s="32">
        <v>21</v>
      </c>
      <c r="S386" s="32">
        <v>11</v>
      </c>
      <c r="T386" s="32">
        <v>5</v>
      </c>
      <c r="U386" s="32">
        <v>19</v>
      </c>
      <c r="V386" s="32">
        <v>13</v>
      </c>
      <c r="W386" s="32">
        <v>10</v>
      </c>
      <c r="X386" s="32">
        <v>40</v>
      </c>
      <c r="Y386" s="32">
        <v>24</v>
      </c>
      <c r="Z386" s="32">
        <v>15</v>
      </c>
      <c r="AA386" s="32">
        <v>59</v>
      </c>
      <c r="AB386" s="32">
        <v>31</v>
      </c>
      <c r="AC386" s="32">
        <v>14</v>
      </c>
      <c r="AD386" s="32">
        <v>23</v>
      </c>
      <c r="AE386" s="32">
        <v>16</v>
      </c>
      <c r="AF386" s="32">
        <v>12</v>
      </c>
      <c r="AG386" s="32">
        <v>82</v>
      </c>
      <c r="AH386" s="32">
        <v>47</v>
      </c>
      <c r="AI386" s="32">
        <v>26</v>
      </c>
      <c r="AJ386" s="32">
        <v>82</v>
      </c>
      <c r="AK386" s="32">
        <v>241</v>
      </c>
      <c r="AL386" s="32">
        <v>34</v>
      </c>
    </row>
    <row r="387" spans="1:38" ht="13.5" hidden="1" customHeight="1">
      <c r="A387" s="30" t="s">
        <v>2272</v>
      </c>
      <c r="B387" s="30" t="s">
        <v>2273</v>
      </c>
      <c r="C387" s="30" t="s">
        <v>235</v>
      </c>
      <c r="D387" s="30" t="s">
        <v>2012</v>
      </c>
      <c r="E387" s="30" t="s">
        <v>2034</v>
      </c>
      <c r="F387" s="30" t="s">
        <v>2035</v>
      </c>
      <c r="G387" s="30"/>
      <c r="H387" s="30" t="s">
        <v>2523</v>
      </c>
      <c r="I387" s="30" t="s">
        <v>2015</v>
      </c>
      <c r="J387" s="30" t="s">
        <v>2015</v>
      </c>
      <c r="K387" s="30" t="s">
        <v>2018</v>
      </c>
      <c r="L387" s="30" t="s">
        <v>2017</v>
      </c>
      <c r="M387" s="30" t="s">
        <v>2018</v>
      </c>
      <c r="N387" s="30" t="s">
        <v>2018</v>
      </c>
      <c r="O387" s="30" t="s">
        <v>2015</v>
      </c>
      <c r="P387" s="32">
        <v>963</v>
      </c>
      <c r="Q387" s="32">
        <v>583</v>
      </c>
      <c r="R387" s="32">
        <v>106</v>
      </c>
      <c r="S387" s="32">
        <v>54</v>
      </c>
      <c r="T387" s="32">
        <v>30</v>
      </c>
      <c r="U387" s="32">
        <v>47</v>
      </c>
      <c r="V387" s="32">
        <v>31</v>
      </c>
      <c r="W387" s="32">
        <v>22</v>
      </c>
      <c r="X387" s="32">
        <v>153</v>
      </c>
      <c r="Y387" s="32">
        <v>85</v>
      </c>
      <c r="Z387" s="32">
        <v>52</v>
      </c>
      <c r="AA387" s="32">
        <v>329</v>
      </c>
      <c r="AB387" s="32">
        <v>167</v>
      </c>
      <c r="AC387" s="32">
        <v>93</v>
      </c>
      <c r="AD387" s="32">
        <v>56</v>
      </c>
      <c r="AE387" s="32">
        <v>37</v>
      </c>
      <c r="AF387" s="32">
        <v>26</v>
      </c>
      <c r="AG387" s="32">
        <v>385</v>
      </c>
      <c r="AH387" s="32">
        <v>204</v>
      </c>
      <c r="AI387" s="32">
        <v>119</v>
      </c>
      <c r="AJ387" s="32">
        <v>385</v>
      </c>
      <c r="AK387" s="32">
        <v>963</v>
      </c>
      <c r="AL387" s="32">
        <v>40</v>
      </c>
    </row>
    <row r="388" spans="1:38" ht="13.5" hidden="1" customHeight="1">
      <c r="A388" s="30" t="s">
        <v>2272</v>
      </c>
      <c r="B388" s="30" t="s">
        <v>2273</v>
      </c>
      <c r="C388" s="30" t="s">
        <v>235</v>
      </c>
      <c r="D388" s="30" t="s">
        <v>2012</v>
      </c>
      <c r="E388" s="30" t="s">
        <v>2034</v>
      </c>
      <c r="F388" s="30" t="s">
        <v>2035</v>
      </c>
      <c r="G388" s="30"/>
      <c r="H388" s="30" t="s">
        <v>2524</v>
      </c>
      <c r="I388" s="30" t="s">
        <v>2015</v>
      </c>
      <c r="J388" s="30" t="s">
        <v>2015</v>
      </c>
      <c r="K388" s="30" t="s">
        <v>2018</v>
      </c>
      <c r="L388" s="30" t="s">
        <v>2017</v>
      </c>
      <c r="M388" s="30" t="s">
        <v>2018</v>
      </c>
      <c r="N388" s="30" t="s">
        <v>2018</v>
      </c>
      <c r="O388" s="30" t="s">
        <v>2015</v>
      </c>
      <c r="P388" s="32">
        <v>1053</v>
      </c>
      <c r="Q388" s="32">
        <v>410</v>
      </c>
      <c r="R388" s="32">
        <v>67</v>
      </c>
      <c r="S388" s="32">
        <v>22</v>
      </c>
      <c r="T388" s="32">
        <v>10</v>
      </c>
      <c r="U388" s="32">
        <v>47</v>
      </c>
      <c r="V388" s="32">
        <v>25</v>
      </c>
      <c r="W388" s="32">
        <v>5</v>
      </c>
      <c r="X388" s="32">
        <v>114</v>
      </c>
      <c r="Y388" s="32">
        <v>47</v>
      </c>
      <c r="Z388" s="32">
        <v>15</v>
      </c>
      <c r="AA388" s="32">
        <v>208</v>
      </c>
      <c r="AB388" s="32">
        <v>68</v>
      </c>
      <c r="AC388" s="32">
        <v>31</v>
      </c>
      <c r="AD388" s="32">
        <v>61</v>
      </c>
      <c r="AE388" s="32">
        <v>33</v>
      </c>
      <c r="AF388" s="32">
        <v>7</v>
      </c>
      <c r="AG388" s="32">
        <v>269</v>
      </c>
      <c r="AH388" s="32">
        <v>101</v>
      </c>
      <c r="AI388" s="32">
        <v>38</v>
      </c>
      <c r="AJ388" s="32">
        <v>269</v>
      </c>
      <c r="AK388" s="32">
        <v>1053</v>
      </c>
      <c r="AL388" s="32">
        <v>25.5</v>
      </c>
    </row>
    <row r="389" spans="1:38" ht="13.5" hidden="1" customHeight="1">
      <c r="A389" s="30" t="s">
        <v>2272</v>
      </c>
      <c r="B389" s="30" t="s">
        <v>2273</v>
      </c>
      <c r="C389" s="30" t="s">
        <v>235</v>
      </c>
      <c r="D389" s="30" t="s">
        <v>2012</v>
      </c>
      <c r="E389" s="30" t="s">
        <v>2034</v>
      </c>
      <c r="F389" s="30" t="s">
        <v>2035</v>
      </c>
      <c r="G389" s="30"/>
      <c r="H389" s="30" t="s">
        <v>2525</v>
      </c>
      <c r="I389" s="30" t="s">
        <v>2015</v>
      </c>
      <c r="J389" s="30" t="s">
        <v>2015</v>
      </c>
      <c r="K389" s="30" t="s">
        <v>2018</v>
      </c>
      <c r="L389" s="30" t="s">
        <v>2017</v>
      </c>
      <c r="M389" s="30" t="s">
        <v>2018</v>
      </c>
      <c r="N389" s="30" t="s">
        <v>2018</v>
      </c>
      <c r="O389" s="30" t="s">
        <v>2015</v>
      </c>
      <c r="P389" s="32">
        <v>1423</v>
      </c>
      <c r="Q389" s="32">
        <v>769</v>
      </c>
      <c r="R389" s="32">
        <v>167</v>
      </c>
      <c r="S389" s="32">
        <v>100</v>
      </c>
      <c r="T389" s="32">
        <v>38</v>
      </c>
      <c r="U389" s="32">
        <v>86</v>
      </c>
      <c r="V389" s="32">
        <v>56</v>
      </c>
      <c r="W389" s="32">
        <v>34</v>
      </c>
      <c r="X389" s="32">
        <v>253</v>
      </c>
      <c r="Y389" s="32">
        <v>156</v>
      </c>
      <c r="Z389" s="32">
        <v>72</v>
      </c>
      <c r="AA389" s="32">
        <v>534</v>
      </c>
      <c r="AB389" s="32">
        <v>320</v>
      </c>
      <c r="AC389" s="32">
        <v>122</v>
      </c>
      <c r="AD389" s="32">
        <v>112</v>
      </c>
      <c r="AE389" s="32">
        <v>73</v>
      </c>
      <c r="AF389" s="32">
        <v>44</v>
      </c>
      <c r="AG389" s="32">
        <v>646</v>
      </c>
      <c r="AH389" s="32">
        <v>393</v>
      </c>
      <c r="AI389" s="32">
        <v>166</v>
      </c>
      <c r="AJ389" s="32">
        <v>646</v>
      </c>
      <c r="AK389" s="32">
        <v>1423</v>
      </c>
      <c r="AL389" s="32">
        <v>45.4</v>
      </c>
    </row>
    <row r="390" spans="1:38" ht="13.5" hidden="1" customHeight="1">
      <c r="A390" s="30" t="s">
        <v>2272</v>
      </c>
      <c r="B390" s="30" t="s">
        <v>2273</v>
      </c>
      <c r="C390" s="30" t="s">
        <v>235</v>
      </c>
      <c r="D390" s="30" t="s">
        <v>2012</v>
      </c>
      <c r="E390" s="30" t="s">
        <v>2034</v>
      </c>
      <c r="F390" s="30" t="s">
        <v>2035</v>
      </c>
      <c r="G390" s="30"/>
      <c r="H390" s="30" t="s">
        <v>2526</v>
      </c>
      <c r="I390" s="30" t="s">
        <v>2015</v>
      </c>
      <c r="J390" s="30" t="s">
        <v>2015</v>
      </c>
      <c r="K390" s="30" t="s">
        <v>2018</v>
      </c>
      <c r="L390" s="30" t="s">
        <v>2017</v>
      </c>
      <c r="M390" s="30" t="s">
        <v>2018</v>
      </c>
      <c r="N390" s="30" t="s">
        <v>2018</v>
      </c>
      <c r="O390" s="30" t="s">
        <v>2015</v>
      </c>
      <c r="P390" s="32">
        <v>46</v>
      </c>
      <c r="Q390" s="32">
        <v>119</v>
      </c>
      <c r="R390" s="32">
        <v>3</v>
      </c>
      <c r="S390" s="32">
        <v>0</v>
      </c>
      <c r="T390" s="32">
        <v>0</v>
      </c>
      <c r="U390" s="32">
        <v>5</v>
      </c>
      <c r="V390" s="32">
        <v>3</v>
      </c>
      <c r="W390" s="32">
        <v>0</v>
      </c>
      <c r="X390" s="32">
        <v>8</v>
      </c>
      <c r="Y390" s="32">
        <v>3</v>
      </c>
      <c r="Z390" s="32">
        <v>0</v>
      </c>
      <c r="AA390" s="32">
        <v>6</v>
      </c>
      <c r="AB390" s="32">
        <v>0</v>
      </c>
      <c r="AC390" s="32">
        <v>0</v>
      </c>
      <c r="AD390" s="32">
        <v>5</v>
      </c>
      <c r="AE390" s="32">
        <v>3</v>
      </c>
      <c r="AF390" s="32">
        <v>0</v>
      </c>
      <c r="AG390" s="32">
        <v>11</v>
      </c>
      <c r="AH390" s="32">
        <v>3</v>
      </c>
      <c r="AI390" s="32">
        <v>0</v>
      </c>
      <c r="AJ390" s="32">
        <v>11</v>
      </c>
      <c r="AK390" s="32">
        <v>34</v>
      </c>
      <c r="AL390" s="32">
        <v>32.4</v>
      </c>
    </row>
    <row r="391" spans="1:38" ht="13.5" hidden="1" customHeight="1">
      <c r="A391" s="30" t="s">
        <v>2272</v>
      </c>
      <c r="B391" s="30" t="s">
        <v>2273</v>
      </c>
      <c r="C391" s="30" t="s">
        <v>235</v>
      </c>
      <c r="D391" s="30" t="s">
        <v>2012</v>
      </c>
      <c r="E391" s="30" t="s">
        <v>2034</v>
      </c>
      <c r="F391" s="30" t="s">
        <v>2035</v>
      </c>
      <c r="G391" s="30"/>
      <c r="H391" s="30" t="s">
        <v>2527</v>
      </c>
      <c r="I391" s="30" t="s">
        <v>2015</v>
      </c>
      <c r="J391" s="30" t="s">
        <v>2015</v>
      </c>
      <c r="K391" s="30" t="s">
        <v>2018</v>
      </c>
      <c r="L391" s="30" t="s">
        <v>2017</v>
      </c>
      <c r="M391" s="30" t="s">
        <v>2018</v>
      </c>
      <c r="N391" s="30" t="s">
        <v>2018</v>
      </c>
      <c r="O391" s="30" t="s">
        <v>2015</v>
      </c>
      <c r="P391" s="32">
        <v>974</v>
      </c>
      <c r="Q391" s="32">
        <v>1218</v>
      </c>
      <c r="R391" s="32">
        <v>112</v>
      </c>
      <c r="S391" s="32">
        <v>54</v>
      </c>
      <c r="T391" s="32">
        <v>23</v>
      </c>
      <c r="U391" s="32">
        <v>63</v>
      </c>
      <c r="V391" s="32">
        <v>42</v>
      </c>
      <c r="W391" s="32">
        <v>26</v>
      </c>
      <c r="X391" s="32">
        <v>175</v>
      </c>
      <c r="Y391" s="32">
        <v>96</v>
      </c>
      <c r="Z391" s="32">
        <v>49</v>
      </c>
      <c r="AA391" s="32">
        <v>331</v>
      </c>
      <c r="AB391" s="32">
        <v>160</v>
      </c>
      <c r="AC391" s="32">
        <v>68</v>
      </c>
      <c r="AD391" s="32">
        <v>84</v>
      </c>
      <c r="AE391" s="32">
        <v>55</v>
      </c>
      <c r="AF391" s="32">
        <v>34</v>
      </c>
      <c r="AG391" s="32">
        <v>415</v>
      </c>
      <c r="AH391" s="32">
        <v>215</v>
      </c>
      <c r="AI391" s="32">
        <v>102</v>
      </c>
      <c r="AJ391" s="32">
        <v>415</v>
      </c>
      <c r="AK391" s="32">
        <v>994</v>
      </c>
      <c r="AL391" s="32">
        <v>41.8</v>
      </c>
    </row>
    <row r="392" spans="1:38" ht="13.5" hidden="1" customHeight="1">
      <c r="A392" s="30" t="s">
        <v>2272</v>
      </c>
      <c r="B392" s="30" t="s">
        <v>2273</v>
      </c>
      <c r="C392" s="30" t="s">
        <v>235</v>
      </c>
      <c r="D392" s="30" t="s">
        <v>2012</v>
      </c>
      <c r="E392" s="30" t="s">
        <v>2034</v>
      </c>
      <c r="F392" s="30" t="s">
        <v>2035</v>
      </c>
      <c r="G392" s="30"/>
      <c r="H392" s="30" t="s">
        <v>2528</v>
      </c>
      <c r="I392" s="30" t="s">
        <v>2015</v>
      </c>
      <c r="J392" s="30" t="s">
        <v>2015</v>
      </c>
      <c r="K392" s="30" t="s">
        <v>2018</v>
      </c>
      <c r="L392" s="30" t="s">
        <v>2017</v>
      </c>
      <c r="M392" s="30" t="s">
        <v>2018</v>
      </c>
      <c r="N392" s="30" t="s">
        <v>2018</v>
      </c>
      <c r="O392" s="30" t="s">
        <v>2015</v>
      </c>
      <c r="P392" s="32">
        <v>37</v>
      </c>
      <c r="Q392" s="32">
        <v>105</v>
      </c>
      <c r="R392" s="32">
        <v>3</v>
      </c>
      <c r="S392" s="32">
        <v>1</v>
      </c>
      <c r="T392" s="32">
        <v>0</v>
      </c>
      <c r="U392" s="32">
        <v>4</v>
      </c>
      <c r="V392" s="32">
        <v>4</v>
      </c>
      <c r="W392" s="32">
        <v>2</v>
      </c>
      <c r="X392" s="32">
        <v>7</v>
      </c>
      <c r="Y392" s="32">
        <v>5</v>
      </c>
      <c r="Z392" s="32">
        <v>2</v>
      </c>
      <c r="AA392" s="32">
        <v>7</v>
      </c>
      <c r="AB392" s="32">
        <v>2</v>
      </c>
      <c r="AC392" s="32">
        <v>0</v>
      </c>
      <c r="AD392" s="32">
        <v>4</v>
      </c>
      <c r="AE392" s="32">
        <v>4</v>
      </c>
      <c r="AF392" s="32">
        <v>2</v>
      </c>
      <c r="AG392" s="32">
        <v>11</v>
      </c>
      <c r="AH392" s="32">
        <v>6</v>
      </c>
      <c r="AI392" s="32">
        <v>2</v>
      </c>
      <c r="AJ392" s="32">
        <v>11</v>
      </c>
      <c r="AK392" s="32">
        <v>28</v>
      </c>
      <c r="AL392" s="32">
        <v>39.299999999999997</v>
      </c>
    </row>
    <row r="393" spans="1:38" ht="13.5" hidden="1" customHeight="1">
      <c r="A393" s="30" t="s">
        <v>2272</v>
      </c>
      <c r="B393" s="30" t="s">
        <v>2273</v>
      </c>
      <c r="C393" s="30" t="s">
        <v>235</v>
      </c>
      <c r="D393" s="30" t="s">
        <v>2012</v>
      </c>
      <c r="E393" s="30" t="s">
        <v>2034</v>
      </c>
      <c r="F393" s="30" t="s">
        <v>2035</v>
      </c>
      <c r="G393" s="30"/>
      <c r="H393" s="30" t="s">
        <v>2529</v>
      </c>
      <c r="I393" s="30" t="s">
        <v>2015</v>
      </c>
      <c r="J393" s="30" t="s">
        <v>2015</v>
      </c>
      <c r="K393" s="30" t="s">
        <v>2018</v>
      </c>
      <c r="L393" s="30" t="s">
        <v>2017</v>
      </c>
      <c r="M393" s="30" t="s">
        <v>2018</v>
      </c>
      <c r="N393" s="30" t="s">
        <v>2018</v>
      </c>
      <c r="O393" s="30" t="s">
        <v>2015</v>
      </c>
      <c r="P393" s="32">
        <v>2959</v>
      </c>
      <c r="Q393" s="32">
        <v>1448</v>
      </c>
      <c r="R393" s="32">
        <v>351</v>
      </c>
      <c r="S393" s="32">
        <v>217</v>
      </c>
      <c r="T393" s="32">
        <v>80</v>
      </c>
      <c r="U393" s="32">
        <v>334</v>
      </c>
      <c r="V393" s="32">
        <v>223</v>
      </c>
      <c r="W393" s="32">
        <v>126</v>
      </c>
      <c r="X393" s="32">
        <v>685</v>
      </c>
      <c r="Y393" s="32">
        <v>440</v>
      </c>
      <c r="Z393" s="32">
        <v>206</v>
      </c>
      <c r="AA393" s="32">
        <v>1005</v>
      </c>
      <c r="AB393" s="32">
        <v>626</v>
      </c>
      <c r="AC393" s="32">
        <v>236</v>
      </c>
      <c r="AD393" s="32">
        <v>415</v>
      </c>
      <c r="AE393" s="32">
        <v>275</v>
      </c>
      <c r="AF393" s="32">
        <v>155</v>
      </c>
      <c r="AG393" s="32">
        <v>1420</v>
      </c>
      <c r="AH393" s="32">
        <v>901</v>
      </c>
      <c r="AI393" s="32">
        <v>391</v>
      </c>
      <c r="AJ393" s="32">
        <v>1420</v>
      </c>
      <c r="AK393" s="32">
        <v>2950</v>
      </c>
      <c r="AL393" s="32">
        <v>48.1</v>
      </c>
    </row>
    <row r="394" spans="1:38" ht="13.5" hidden="1" customHeight="1">
      <c r="A394" s="30" t="s">
        <v>2272</v>
      </c>
      <c r="B394" s="30" t="s">
        <v>2273</v>
      </c>
      <c r="C394" s="30" t="s">
        <v>235</v>
      </c>
      <c r="D394" s="30" t="s">
        <v>2012</v>
      </c>
      <c r="E394" s="30" t="s">
        <v>2034</v>
      </c>
      <c r="F394" s="30" t="s">
        <v>2035</v>
      </c>
      <c r="G394" s="30"/>
      <c r="H394" s="30" t="s">
        <v>2530</v>
      </c>
      <c r="I394" s="30" t="s">
        <v>2015</v>
      </c>
      <c r="J394" s="30" t="s">
        <v>2015</v>
      </c>
      <c r="K394" s="30" t="s">
        <v>2018</v>
      </c>
      <c r="L394" s="30" t="s">
        <v>2017</v>
      </c>
      <c r="M394" s="30" t="s">
        <v>2018</v>
      </c>
      <c r="N394" s="30" t="s">
        <v>2018</v>
      </c>
      <c r="O394" s="30" t="s">
        <v>2015</v>
      </c>
      <c r="P394" s="32">
        <v>123</v>
      </c>
      <c r="Q394" s="32">
        <v>61</v>
      </c>
      <c r="R394" s="32">
        <v>17</v>
      </c>
      <c r="S394" s="32">
        <v>8</v>
      </c>
      <c r="T394" s="32">
        <v>6</v>
      </c>
      <c r="U394" s="32">
        <v>7</v>
      </c>
      <c r="V394" s="32">
        <v>3</v>
      </c>
      <c r="W394" s="32">
        <v>0</v>
      </c>
      <c r="X394" s="32">
        <v>24</v>
      </c>
      <c r="Y394" s="32">
        <v>11</v>
      </c>
      <c r="Z394" s="32">
        <v>6</v>
      </c>
      <c r="AA394" s="32">
        <v>54</v>
      </c>
      <c r="AB394" s="32">
        <v>26</v>
      </c>
      <c r="AC394" s="32">
        <v>19</v>
      </c>
      <c r="AD394" s="32">
        <v>11</v>
      </c>
      <c r="AE394" s="32">
        <v>5</v>
      </c>
      <c r="AF394" s="32">
        <v>0</v>
      </c>
      <c r="AG394" s="32">
        <v>65</v>
      </c>
      <c r="AH394" s="32">
        <v>31</v>
      </c>
      <c r="AI394" s="32">
        <v>19</v>
      </c>
      <c r="AJ394" s="32">
        <v>65</v>
      </c>
      <c r="AK394" s="32">
        <v>121</v>
      </c>
      <c r="AL394" s="32">
        <v>53.7</v>
      </c>
    </row>
    <row r="395" spans="1:38" ht="13.5" hidden="1" customHeight="1">
      <c r="A395" s="30" t="s">
        <v>2272</v>
      </c>
      <c r="B395" s="30" t="s">
        <v>2273</v>
      </c>
      <c r="C395" s="30" t="s">
        <v>235</v>
      </c>
      <c r="D395" s="30" t="s">
        <v>2012</v>
      </c>
      <c r="E395" s="30" t="s">
        <v>2034</v>
      </c>
      <c r="F395" s="30" t="s">
        <v>2035</v>
      </c>
      <c r="G395" s="30"/>
      <c r="H395" s="30" t="s">
        <v>2531</v>
      </c>
      <c r="I395" s="30" t="s">
        <v>2015</v>
      </c>
      <c r="J395" s="30" t="s">
        <v>2015</v>
      </c>
      <c r="K395" s="30" t="s">
        <v>2018</v>
      </c>
      <c r="L395" s="30" t="s">
        <v>2017</v>
      </c>
      <c r="M395" s="30" t="s">
        <v>2018</v>
      </c>
      <c r="N395" s="30" t="s">
        <v>2018</v>
      </c>
      <c r="O395" s="30" t="s">
        <v>2015</v>
      </c>
      <c r="P395" s="32">
        <v>344</v>
      </c>
      <c r="Q395" s="32">
        <v>1075</v>
      </c>
      <c r="R395" s="32">
        <v>34</v>
      </c>
      <c r="S395" s="32">
        <v>16</v>
      </c>
      <c r="T395" s="32">
        <v>4</v>
      </c>
      <c r="U395" s="32">
        <v>21</v>
      </c>
      <c r="V395" s="32">
        <v>11</v>
      </c>
      <c r="W395" s="32">
        <v>7</v>
      </c>
      <c r="X395" s="32">
        <v>55</v>
      </c>
      <c r="Y395" s="32">
        <v>27</v>
      </c>
      <c r="Z395" s="32">
        <v>11</v>
      </c>
      <c r="AA395" s="32">
        <v>102</v>
      </c>
      <c r="AB395" s="32">
        <v>48</v>
      </c>
      <c r="AC395" s="32">
        <v>12</v>
      </c>
      <c r="AD395" s="32">
        <v>29</v>
      </c>
      <c r="AE395" s="32">
        <v>15</v>
      </c>
      <c r="AF395" s="32">
        <v>10</v>
      </c>
      <c r="AG395" s="32">
        <v>131</v>
      </c>
      <c r="AH395" s="32">
        <v>63</v>
      </c>
      <c r="AI395" s="32">
        <v>22</v>
      </c>
      <c r="AJ395" s="32">
        <v>131</v>
      </c>
      <c r="AK395" s="32">
        <v>380</v>
      </c>
      <c r="AL395" s="32">
        <v>34.5</v>
      </c>
    </row>
    <row r="396" spans="1:38" ht="13.5" hidden="1" customHeight="1">
      <c r="A396" s="30" t="s">
        <v>2272</v>
      </c>
      <c r="B396" s="30" t="s">
        <v>2273</v>
      </c>
      <c r="C396" s="30" t="s">
        <v>235</v>
      </c>
      <c r="D396" s="30" t="s">
        <v>2012</v>
      </c>
      <c r="E396" s="30" t="s">
        <v>2034</v>
      </c>
      <c r="F396" s="30" t="s">
        <v>2035</v>
      </c>
      <c r="G396" s="30"/>
      <c r="H396" s="30" t="s">
        <v>2532</v>
      </c>
      <c r="I396" s="30" t="s">
        <v>2015</v>
      </c>
      <c r="J396" s="30" t="s">
        <v>2015</v>
      </c>
      <c r="K396" s="30" t="s">
        <v>2018</v>
      </c>
      <c r="L396" s="30" t="s">
        <v>2017</v>
      </c>
      <c r="M396" s="30" t="s">
        <v>2018</v>
      </c>
      <c r="N396" s="30" t="s">
        <v>2018</v>
      </c>
      <c r="O396" s="30" t="s">
        <v>2015</v>
      </c>
      <c r="P396" s="32">
        <v>17</v>
      </c>
      <c r="Q396" s="32">
        <v>254</v>
      </c>
      <c r="R396" s="32">
        <v>3</v>
      </c>
      <c r="S396" s="32">
        <v>1</v>
      </c>
      <c r="T396" s="32">
        <v>0</v>
      </c>
      <c r="U396" s="32">
        <v>0</v>
      </c>
      <c r="V396" s="32">
        <v>0</v>
      </c>
      <c r="W396" s="32">
        <v>0</v>
      </c>
      <c r="X396" s="32">
        <v>3</v>
      </c>
      <c r="Y396" s="32">
        <v>1</v>
      </c>
      <c r="Z396" s="32">
        <v>0</v>
      </c>
      <c r="AA396" s="32">
        <v>6</v>
      </c>
      <c r="AB396" s="32">
        <v>2</v>
      </c>
      <c r="AC396" s="32">
        <v>0</v>
      </c>
      <c r="AD396" s="32">
        <v>0</v>
      </c>
      <c r="AE396" s="32">
        <v>0</v>
      </c>
      <c r="AF396" s="32">
        <v>0</v>
      </c>
      <c r="AG396" s="32">
        <v>6</v>
      </c>
      <c r="AH396" s="32">
        <v>2</v>
      </c>
      <c r="AI396" s="32">
        <v>0</v>
      </c>
      <c r="AJ396" s="32">
        <v>6</v>
      </c>
      <c r="AK396" s="32">
        <v>13</v>
      </c>
      <c r="AL396" s="32">
        <v>46.2</v>
      </c>
    </row>
    <row r="397" spans="1:38" ht="13.5" hidden="1" customHeight="1">
      <c r="A397" s="30" t="s">
        <v>2272</v>
      </c>
      <c r="B397" s="30" t="s">
        <v>2273</v>
      </c>
      <c r="C397" s="30" t="s">
        <v>235</v>
      </c>
      <c r="D397" s="30" t="s">
        <v>2012</v>
      </c>
      <c r="E397" s="30" t="s">
        <v>2034</v>
      </c>
      <c r="F397" s="30" t="s">
        <v>2035</v>
      </c>
      <c r="G397" s="30"/>
      <c r="H397" s="30" t="s">
        <v>2533</v>
      </c>
      <c r="I397" s="30" t="s">
        <v>2015</v>
      </c>
      <c r="J397" s="30" t="s">
        <v>2015</v>
      </c>
      <c r="K397" s="30" t="s">
        <v>2018</v>
      </c>
      <c r="L397" s="30" t="s">
        <v>2017</v>
      </c>
      <c r="M397" s="30" t="s">
        <v>2018</v>
      </c>
      <c r="N397" s="30" t="s">
        <v>2018</v>
      </c>
      <c r="O397" s="30" t="s">
        <v>2015</v>
      </c>
      <c r="P397" s="32">
        <v>4611</v>
      </c>
      <c r="Q397" s="32">
        <v>2551</v>
      </c>
      <c r="R397" s="32">
        <v>555</v>
      </c>
      <c r="S397" s="32">
        <v>247</v>
      </c>
      <c r="T397" s="32">
        <v>115</v>
      </c>
      <c r="U397" s="32">
        <v>462</v>
      </c>
      <c r="V397" s="32">
        <v>282</v>
      </c>
      <c r="W397" s="32">
        <v>152</v>
      </c>
      <c r="X397" s="32">
        <v>1017</v>
      </c>
      <c r="Y397" s="32">
        <v>529</v>
      </c>
      <c r="Z397" s="32">
        <v>267</v>
      </c>
      <c r="AA397" s="32">
        <v>1589</v>
      </c>
      <c r="AB397" s="32">
        <v>702</v>
      </c>
      <c r="AC397" s="32">
        <v>324</v>
      </c>
      <c r="AD397" s="32">
        <v>564</v>
      </c>
      <c r="AE397" s="32">
        <v>345</v>
      </c>
      <c r="AF397" s="32">
        <v>186</v>
      </c>
      <c r="AG397" s="32">
        <v>2153</v>
      </c>
      <c r="AH397" s="32">
        <v>1047</v>
      </c>
      <c r="AI397" s="32">
        <v>510</v>
      </c>
      <c r="AJ397" s="32">
        <v>2153</v>
      </c>
      <c r="AK397" s="32">
        <v>4506</v>
      </c>
      <c r="AL397" s="32">
        <v>47.8</v>
      </c>
    </row>
    <row r="398" spans="1:38" ht="13.5" hidden="1" customHeight="1">
      <c r="A398" s="30" t="s">
        <v>2272</v>
      </c>
      <c r="B398" s="30" t="s">
        <v>2273</v>
      </c>
      <c r="C398" s="30" t="s">
        <v>235</v>
      </c>
      <c r="D398" s="30" t="s">
        <v>2012</v>
      </c>
      <c r="E398" s="30" t="s">
        <v>2034</v>
      </c>
      <c r="F398" s="30" t="s">
        <v>2035</v>
      </c>
      <c r="G398" s="30"/>
      <c r="H398" s="30" t="s">
        <v>2534</v>
      </c>
      <c r="I398" s="30" t="s">
        <v>2015</v>
      </c>
      <c r="J398" s="30" t="s">
        <v>2015</v>
      </c>
      <c r="K398" s="30" t="s">
        <v>2018</v>
      </c>
      <c r="L398" s="30" t="s">
        <v>2017</v>
      </c>
      <c r="M398" s="30" t="s">
        <v>2018</v>
      </c>
      <c r="N398" s="30" t="s">
        <v>2018</v>
      </c>
      <c r="O398" s="30" t="s">
        <v>2015</v>
      </c>
      <c r="P398" s="32">
        <v>1560</v>
      </c>
      <c r="Q398" s="32">
        <v>1011</v>
      </c>
      <c r="R398" s="32">
        <v>113</v>
      </c>
      <c r="S398" s="32">
        <v>46</v>
      </c>
      <c r="T398" s="32">
        <v>18</v>
      </c>
      <c r="U398" s="32">
        <v>67</v>
      </c>
      <c r="V398" s="32">
        <v>34</v>
      </c>
      <c r="W398" s="32">
        <v>14</v>
      </c>
      <c r="X398" s="32">
        <v>180</v>
      </c>
      <c r="Y398" s="32">
        <v>80</v>
      </c>
      <c r="Z398" s="32">
        <v>32</v>
      </c>
      <c r="AA398" s="32">
        <v>341</v>
      </c>
      <c r="AB398" s="32">
        <v>139</v>
      </c>
      <c r="AC398" s="32">
        <v>54</v>
      </c>
      <c r="AD398" s="32">
        <v>88</v>
      </c>
      <c r="AE398" s="32">
        <v>46</v>
      </c>
      <c r="AF398" s="32">
        <v>19</v>
      </c>
      <c r="AG398" s="32">
        <v>429</v>
      </c>
      <c r="AH398" s="32">
        <v>185</v>
      </c>
      <c r="AI398" s="32">
        <v>73</v>
      </c>
      <c r="AJ398" s="32">
        <v>429</v>
      </c>
      <c r="AK398" s="32">
        <v>1550</v>
      </c>
      <c r="AL398" s="32">
        <v>27.7</v>
      </c>
    </row>
    <row r="399" spans="1:38" ht="13.5" hidden="1" customHeight="1">
      <c r="A399" s="30" t="s">
        <v>2272</v>
      </c>
      <c r="B399" s="30" t="s">
        <v>2273</v>
      </c>
      <c r="C399" s="30" t="s">
        <v>235</v>
      </c>
      <c r="D399" s="30" t="s">
        <v>2012</v>
      </c>
      <c r="E399" s="30" t="s">
        <v>2034</v>
      </c>
      <c r="F399" s="30" t="s">
        <v>2035</v>
      </c>
      <c r="G399" s="30"/>
      <c r="H399" s="30" t="s">
        <v>2535</v>
      </c>
      <c r="I399" s="30" t="s">
        <v>2015</v>
      </c>
      <c r="J399" s="30" t="s">
        <v>2015</v>
      </c>
      <c r="K399" s="30" t="s">
        <v>2018</v>
      </c>
      <c r="L399" s="30" t="s">
        <v>2017</v>
      </c>
      <c r="M399" s="30" t="s">
        <v>2018</v>
      </c>
      <c r="N399" s="30" t="s">
        <v>2018</v>
      </c>
      <c r="O399" s="30" t="s">
        <v>2015</v>
      </c>
      <c r="P399" s="32">
        <v>3960</v>
      </c>
      <c r="Q399" s="32">
        <v>1926</v>
      </c>
      <c r="R399" s="32">
        <v>382</v>
      </c>
      <c r="S399" s="32">
        <v>144</v>
      </c>
      <c r="T399" s="32">
        <v>26</v>
      </c>
      <c r="U399" s="32">
        <v>246</v>
      </c>
      <c r="V399" s="32">
        <v>188</v>
      </c>
      <c r="W399" s="32">
        <v>111</v>
      </c>
      <c r="X399" s="32">
        <v>628</v>
      </c>
      <c r="Y399" s="32">
        <v>332</v>
      </c>
      <c r="Z399" s="32">
        <v>137</v>
      </c>
      <c r="AA399" s="32">
        <v>1252</v>
      </c>
      <c r="AB399" s="32">
        <v>466</v>
      </c>
      <c r="AC399" s="32">
        <v>81</v>
      </c>
      <c r="AD399" s="32">
        <v>325</v>
      </c>
      <c r="AE399" s="32">
        <v>243</v>
      </c>
      <c r="AF399" s="32">
        <v>142</v>
      </c>
      <c r="AG399" s="32">
        <v>1577</v>
      </c>
      <c r="AH399" s="32">
        <v>709</v>
      </c>
      <c r="AI399" s="32">
        <v>223</v>
      </c>
      <c r="AJ399" s="32">
        <v>1577</v>
      </c>
      <c r="AK399" s="32">
        <v>3959</v>
      </c>
      <c r="AL399" s="32">
        <v>39.799999999999997</v>
      </c>
    </row>
    <row r="400" spans="1:38" ht="13.5" hidden="1" customHeight="1">
      <c r="A400" s="30" t="s">
        <v>2272</v>
      </c>
      <c r="B400" s="30" t="s">
        <v>2273</v>
      </c>
      <c r="C400" s="30" t="s">
        <v>235</v>
      </c>
      <c r="D400" s="30" t="s">
        <v>2012</v>
      </c>
      <c r="E400" s="30" t="s">
        <v>2034</v>
      </c>
      <c r="F400" s="30" t="s">
        <v>2035</v>
      </c>
      <c r="G400" s="30"/>
      <c r="H400" s="30" t="s">
        <v>2536</v>
      </c>
      <c r="I400" s="30" t="s">
        <v>2015</v>
      </c>
      <c r="J400" s="30" t="s">
        <v>2015</v>
      </c>
      <c r="K400" s="30" t="s">
        <v>2018</v>
      </c>
      <c r="L400" s="30" t="s">
        <v>2017</v>
      </c>
      <c r="M400" s="30" t="s">
        <v>2018</v>
      </c>
      <c r="N400" s="30" t="s">
        <v>2018</v>
      </c>
      <c r="O400" s="30" t="s">
        <v>2015</v>
      </c>
      <c r="P400" s="32">
        <v>4793</v>
      </c>
      <c r="Q400" s="32">
        <v>2142</v>
      </c>
      <c r="R400" s="32">
        <v>380</v>
      </c>
      <c r="S400" s="32">
        <v>197</v>
      </c>
      <c r="T400" s="32">
        <v>46</v>
      </c>
      <c r="U400" s="32">
        <v>537</v>
      </c>
      <c r="V400" s="32">
        <v>358</v>
      </c>
      <c r="W400" s="32">
        <v>191</v>
      </c>
      <c r="X400" s="32">
        <v>917</v>
      </c>
      <c r="Y400" s="32">
        <v>555</v>
      </c>
      <c r="Z400" s="32">
        <v>237</v>
      </c>
      <c r="AA400" s="32">
        <v>1086</v>
      </c>
      <c r="AB400" s="32">
        <v>563</v>
      </c>
      <c r="AC400" s="32">
        <v>132</v>
      </c>
      <c r="AD400" s="32">
        <v>669</v>
      </c>
      <c r="AE400" s="32">
        <v>444</v>
      </c>
      <c r="AF400" s="32">
        <v>234</v>
      </c>
      <c r="AG400" s="32">
        <v>1755</v>
      </c>
      <c r="AH400" s="32">
        <v>1007</v>
      </c>
      <c r="AI400" s="32">
        <v>366</v>
      </c>
      <c r="AJ400" s="32">
        <v>1755</v>
      </c>
      <c r="AK400" s="32">
        <v>4562</v>
      </c>
      <c r="AL400" s="32">
        <v>38.5</v>
      </c>
    </row>
    <row r="401" spans="1:38" ht="13.5" hidden="1" customHeight="1">
      <c r="A401" s="30" t="s">
        <v>2272</v>
      </c>
      <c r="B401" s="30" t="s">
        <v>2273</v>
      </c>
      <c r="C401" s="30" t="s">
        <v>235</v>
      </c>
      <c r="D401" s="30" t="s">
        <v>2012</v>
      </c>
      <c r="E401" s="30" t="s">
        <v>2034</v>
      </c>
      <c r="F401" s="30" t="s">
        <v>2035</v>
      </c>
      <c r="G401" s="30"/>
      <c r="H401" s="30" t="s">
        <v>2537</v>
      </c>
      <c r="I401" s="30" t="s">
        <v>2015</v>
      </c>
      <c r="J401" s="30" t="s">
        <v>2015</v>
      </c>
      <c r="K401" s="30" t="s">
        <v>2018</v>
      </c>
      <c r="L401" s="30" t="s">
        <v>2017</v>
      </c>
      <c r="M401" s="30" t="s">
        <v>2018</v>
      </c>
      <c r="N401" s="30" t="s">
        <v>2018</v>
      </c>
      <c r="O401" s="30" t="s">
        <v>2015</v>
      </c>
      <c r="P401" s="32">
        <v>1515</v>
      </c>
      <c r="Q401" s="32">
        <v>849</v>
      </c>
      <c r="R401" s="32">
        <v>125</v>
      </c>
      <c r="S401" s="32">
        <v>47</v>
      </c>
      <c r="T401" s="32">
        <v>18</v>
      </c>
      <c r="U401" s="32">
        <v>102</v>
      </c>
      <c r="V401" s="32">
        <v>67</v>
      </c>
      <c r="W401" s="32">
        <v>34</v>
      </c>
      <c r="X401" s="32">
        <v>227</v>
      </c>
      <c r="Y401" s="32">
        <v>114</v>
      </c>
      <c r="Z401" s="32">
        <v>52</v>
      </c>
      <c r="AA401" s="32">
        <v>375</v>
      </c>
      <c r="AB401" s="32">
        <v>141</v>
      </c>
      <c r="AC401" s="32">
        <v>54</v>
      </c>
      <c r="AD401" s="32">
        <v>133</v>
      </c>
      <c r="AE401" s="32">
        <v>87</v>
      </c>
      <c r="AF401" s="32">
        <v>45</v>
      </c>
      <c r="AG401" s="32">
        <v>508</v>
      </c>
      <c r="AH401" s="32">
        <v>228</v>
      </c>
      <c r="AI401" s="32">
        <v>99</v>
      </c>
      <c r="AJ401" s="32">
        <v>508</v>
      </c>
      <c r="AK401" s="32">
        <v>1518</v>
      </c>
      <c r="AL401" s="32">
        <v>33.5</v>
      </c>
    </row>
    <row r="402" spans="1:38" ht="13.5" hidden="1" customHeight="1">
      <c r="A402" s="30" t="s">
        <v>2272</v>
      </c>
      <c r="B402" s="30" t="s">
        <v>2273</v>
      </c>
      <c r="C402" s="30" t="s">
        <v>235</v>
      </c>
      <c r="D402" s="30" t="s">
        <v>2012</v>
      </c>
      <c r="E402" s="30" t="s">
        <v>2034</v>
      </c>
      <c r="F402" s="30" t="s">
        <v>2035</v>
      </c>
      <c r="G402" s="30"/>
      <c r="H402" s="30" t="s">
        <v>2538</v>
      </c>
      <c r="I402" s="30" t="s">
        <v>2015</v>
      </c>
      <c r="J402" s="30" t="s">
        <v>2015</v>
      </c>
      <c r="K402" s="30" t="s">
        <v>2018</v>
      </c>
      <c r="L402" s="30" t="s">
        <v>2017</v>
      </c>
      <c r="M402" s="30" t="s">
        <v>2018</v>
      </c>
      <c r="N402" s="30" t="s">
        <v>2018</v>
      </c>
      <c r="O402" s="30" t="s">
        <v>2015</v>
      </c>
      <c r="P402" s="32">
        <v>1438</v>
      </c>
      <c r="Q402" s="32">
        <v>742</v>
      </c>
      <c r="R402" s="32">
        <v>161</v>
      </c>
      <c r="S402" s="32">
        <v>78</v>
      </c>
      <c r="T402" s="32">
        <v>47</v>
      </c>
      <c r="U402" s="32">
        <v>95</v>
      </c>
      <c r="V402" s="32">
        <v>61</v>
      </c>
      <c r="W402" s="32">
        <v>30</v>
      </c>
      <c r="X402" s="32">
        <v>256</v>
      </c>
      <c r="Y402" s="32">
        <v>139</v>
      </c>
      <c r="Z402" s="32">
        <v>77</v>
      </c>
      <c r="AA402" s="32">
        <v>483</v>
      </c>
      <c r="AB402" s="32">
        <v>234</v>
      </c>
      <c r="AC402" s="32">
        <v>141</v>
      </c>
      <c r="AD402" s="32">
        <v>114</v>
      </c>
      <c r="AE402" s="32">
        <v>73</v>
      </c>
      <c r="AF402" s="32">
        <v>36</v>
      </c>
      <c r="AG402" s="32">
        <v>597</v>
      </c>
      <c r="AH402" s="32">
        <v>307</v>
      </c>
      <c r="AI402" s="32">
        <v>177</v>
      </c>
      <c r="AJ402" s="32">
        <v>597</v>
      </c>
      <c r="AK402" s="32">
        <v>1436</v>
      </c>
      <c r="AL402" s="32">
        <v>41.6</v>
      </c>
    </row>
    <row r="403" spans="1:38" ht="13.5" hidden="1" customHeight="1">
      <c r="A403" s="30" t="s">
        <v>2272</v>
      </c>
      <c r="B403" s="30" t="s">
        <v>2273</v>
      </c>
      <c r="C403" s="30" t="s">
        <v>235</v>
      </c>
      <c r="D403" s="30" t="s">
        <v>2012</v>
      </c>
      <c r="E403" s="30" t="s">
        <v>2034</v>
      </c>
      <c r="F403" s="30" t="s">
        <v>2035</v>
      </c>
      <c r="G403" s="30"/>
      <c r="H403" s="30" t="s">
        <v>2539</v>
      </c>
      <c r="I403" s="30" t="s">
        <v>2015</v>
      </c>
      <c r="J403" s="30" t="s">
        <v>2015</v>
      </c>
      <c r="K403" s="30" t="s">
        <v>2018</v>
      </c>
      <c r="L403" s="30" t="s">
        <v>2017</v>
      </c>
      <c r="M403" s="30" t="s">
        <v>2018</v>
      </c>
      <c r="N403" s="30" t="s">
        <v>2018</v>
      </c>
      <c r="O403" s="30" t="s">
        <v>2015</v>
      </c>
      <c r="P403" s="32">
        <v>384</v>
      </c>
      <c r="Q403" s="32">
        <v>457</v>
      </c>
      <c r="R403" s="32">
        <v>36</v>
      </c>
      <c r="S403" s="32">
        <v>21</v>
      </c>
      <c r="T403" s="32">
        <v>7</v>
      </c>
      <c r="U403" s="32">
        <v>17</v>
      </c>
      <c r="V403" s="32">
        <v>16</v>
      </c>
      <c r="W403" s="32">
        <v>12</v>
      </c>
      <c r="X403" s="32">
        <v>53</v>
      </c>
      <c r="Y403" s="32">
        <v>37</v>
      </c>
      <c r="Z403" s="32">
        <v>19</v>
      </c>
      <c r="AA403" s="32">
        <v>97</v>
      </c>
      <c r="AB403" s="32">
        <v>57</v>
      </c>
      <c r="AC403" s="32">
        <v>19</v>
      </c>
      <c r="AD403" s="32">
        <v>22</v>
      </c>
      <c r="AE403" s="32">
        <v>21</v>
      </c>
      <c r="AF403" s="32">
        <v>16</v>
      </c>
      <c r="AG403" s="32">
        <v>119</v>
      </c>
      <c r="AH403" s="32">
        <v>78</v>
      </c>
      <c r="AI403" s="32">
        <v>35</v>
      </c>
      <c r="AJ403" s="32">
        <v>119</v>
      </c>
      <c r="AK403" s="32">
        <v>419</v>
      </c>
      <c r="AL403" s="32">
        <v>28.4</v>
      </c>
    </row>
    <row r="404" spans="1:38" ht="13.5" hidden="1" customHeight="1">
      <c r="A404" s="30" t="s">
        <v>2272</v>
      </c>
      <c r="B404" s="30" t="s">
        <v>2273</v>
      </c>
      <c r="C404" s="30" t="s">
        <v>235</v>
      </c>
      <c r="D404" s="30" t="s">
        <v>2012</v>
      </c>
      <c r="E404" s="30" t="s">
        <v>2034</v>
      </c>
      <c r="F404" s="30" t="s">
        <v>2035</v>
      </c>
      <c r="G404" s="30"/>
      <c r="H404" s="30" t="s">
        <v>2540</v>
      </c>
      <c r="I404" s="30" t="s">
        <v>2015</v>
      </c>
      <c r="J404" s="30" t="s">
        <v>2015</v>
      </c>
      <c r="K404" s="30" t="s">
        <v>2018</v>
      </c>
      <c r="L404" s="30" t="s">
        <v>2017</v>
      </c>
      <c r="M404" s="30" t="s">
        <v>2018</v>
      </c>
      <c r="N404" s="30" t="s">
        <v>2018</v>
      </c>
      <c r="O404" s="30" t="s">
        <v>2015</v>
      </c>
      <c r="P404" s="32">
        <v>6472</v>
      </c>
      <c r="Q404" s="32">
        <v>3280</v>
      </c>
      <c r="R404" s="32">
        <v>799</v>
      </c>
      <c r="S404" s="32">
        <v>391</v>
      </c>
      <c r="T404" s="32">
        <v>189</v>
      </c>
      <c r="U404" s="32">
        <v>736</v>
      </c>
      <c r="V404" s="32">
        <v>527</v>
      </c>
      <c r="W404" s="32">
        <v>313</v>
      </c>
      <c r="X404" s="32">
        <v>1535</v>
      </c>
      <c r="Y404" s="32">
        <v>918</v>
      </c>
      <c r="Z404" s="32">
        <v>502</v>
      </c>
      <c r="AA404" s="32">
        <v>2279</v>
      </c>
      <c r="AB404" s="32">
        <v>1121</v>
      </c>
      <c r="AC404" s="32">
        <v>546</v>
      </c>
      <c r="AD404" s="32">
        <v>833</v>
      </c>
      <c r="AE404" s="32">
        <v>590</v>
      </c>
      <c r="AF404" s="32">
        <v>350</v>
      </c>
      <c r="AG404" s="32">
        <v>3112</v>
      </c>
      <c r="AH404" s="32">
        <v>1711</v>
      </c>
      <c r="AI404" s="32">
        <v>896</v>
      </c>
      <c r="AJ404" s="32">
        <v>3112</v>
      </c>
      <c r="AK404" s="32">
        <v>6355</v>
      </c>
      <c r="AL404" s="32">
        <v>49</v>
      </c>
    </row>
    <row r="405" spans="1:38" ht="13.5" hidden="1" customHeight="1">
      <c r="A405" s="30" t="s">
        <v>2272</v>
      </c>
      <c r="B405" s="30" t="s">
        <v>2273</v>
      </c>
      <c r="C405" s="30" t="s">
        <v>235</v>
      </c>
      <c r="D405" s="30" t="s">
        <v>2012</v>
      </c>
      <c r="E405" s="30" t="s">
        <v>2034</v>
      </c>
      <c r="F405" s="30" t="s">
        <v>2035</v>
      </c>
      <c r="G405" s="30"/>
      <c r="H405" s="30" t="s">
        <v>2541</v>
      </c>
      <c r="I405" s="30" t="s">
        <v>2015</v>
      </c>
      <c r="J405" s="30" t="s">
        <v>2015</v>
      </c>
      <c r="K405" s="30" t="s">
        <v>2018</v>
      </c>
      <c r="L405" s="30" t="s">
        <v>2017</v>
      </c>
      <c r="M405" s="30" t="s">
        <v>2018</v>
      </c>
      <c r="N405" s="30" t="s">
        <v>2018</v>
      </c>
      <c r="O405" s="30" t="s">
        <v>2015</v>
      </c>
      <c r="P405" s="32">
        <v>515</v>
      </c>
      <c r="Q405" s="32">
        <v>463</v>
      </c>
      <c r="R405" s="32">
        <v>41</v>
      </c>
      <c r="S405" s="32">
        <v>18</v>
      </c>
      <c r="T405" s="32">
        <v>9</v>
      </c>
      <c r="U405" s="32">
        <v>50</v>
      </c>
      <c r="V405" s="32">
        <v>38</v>
      </c>
      <c r="W405" s="32">
        <v>21</v>
      </c>
      <c r="X405" s="32">
        <v>91</v>
      </c>
      <c r="Y405" s="32">
        <v>56</v>
      </c>
      <c r="Z405" s="32">
        <v>30</v>
      </c>
      <c r="AA405" s="32">
        <v>127</v>
      </c>
      <c r="AB405" s="32">
        <v>56</v>
      </c>
      <c r="AC405" s="32">
        <v>28</v>
      </c>
      <c r="AD405" s="32">
        <v>75</v>
      </c>
      <c r="AE405" s="32">
        <v>57</v>
      </c>
      <c r="AF405" s="32">
        <v>32</v>
      </c>
      <c r="AG405" s="32">
        <v>202</v>
      </c>
      <c r="AH405" s="32">
        <v>113</v>
      </c>
      <c r="AI405" s="32">
        <v>60</v>
      </c>
      <c r="AJ405" s="32">
        <v>202</v>
      </c>
      <c r="AK405" s="32">
        <v>524</v>
      </c>
      <c r="AL405" s="32">
        <v>38.5</v>
      </c>
    </row>
    <row r="406" spans="1:38" ht="13.5" hidden="1" customHeight="1">
      <c r="A406" s="30" t="s">
        <v>2272</v>
      </c>
      <c r="B406" s="30" t="s">
        <v>2273</v>
      </c>
      <c r="C406" s="30" t="s">
        <v>235</v>
      </c>
      <c r="D406" s="30" t="s">
        <v>2012</v>
      </c>
      <c r="E406" s="30" t="s">
        <v>2034</v>
      </c>
      <c r="F406" s="30" t="s">
        <v>2035</v>
      </c>
      <c r="G406" s="30"/>
      <c r="H406" s="30" t="s">
        <v>2542</v>
      </c>
      <c r="I406" s="30" t="s">
        <v>2015</v>
      </c>
      <c r="J406" s="30" t="s">
        <v>2015</v>
      </c>
      <c r="K406" s="30" t="s">
        <v>2018</v>
      </c>
      <c r="L406" s="30" t="s">
        <v>2017</v>
      </c>
      <c r="M406" s="30" t="s">
        <v>2018</v>
      </c>
      <c r="N406" s="30" t="s">
        <v>2018</v>
      </c>
      <c r="O406" s="30" t="s">
        <v>2015</v>
      </c>
      <c r="P406" s="32">
        <v>255</v>
      </c>
      <c r="Q406" s="32">
        <v>351</v>
      </c>
      <c r="R406" s="32">
        <v>30</v>
      </c>
      <c r="S406" s="32">
        <v>15</v>
      </c>
      <c r="T406" s="32">
        <v>8</v>
      </c>
      <c r="U406" s="32">
        <v>9</v>
      </c>
      <c r="V406" s="32">
        <v>9</v>
      </c>
      <c r="W406" s="32">
        <v>4</v>
      </c>
      <c r="X406" s="32">
        <v>39</v>
      </c>
      <c r="Y406" s="32">
        <v>24</v>
      </c>
      <c r="Z406" s="32">
        <v>12</v>
      </c>
      <c r="AA406" s="32">
        <v>84</v>
      </c>
      <c r="AB406" s="32">
        <v>42</v>
      </c>
      <c r="AC406" s="32">
        <v>22</v>
      </c>
      <c r="AD406" s="32">
        <v>14</v>
      </c>
      <c r="AE406" s="32">
        <v>14</v>
      </c>
      <c r="AF406" s="32">
        <v>6</v>
      </c>
      <c r="AG406" s="32">
        <v>98</v>
      </c>
      <c r="AH406" s="32">
        <v>56</v>
      </c>
      <c r="AI406" s="32">
        <v>28</v>
      </c>
      <c r="AJ406" s="32">
        <v>98</v>
      </c>
      <c r="AK406" s="32">
        <v>271</v>
      </c>
      <c r="AL406" s="32">
        <v>36.200000000000003</v>
      </c>
    </row>
    <row r="407" spans="1:38" ht="13.5" hidden="1" customHeight="1">
      <c r="A407" s="30" t="s">
        <v>2272</v>
      </c>
      <c r="B407" s="30" t="s">
        <v>2273</v>
      </c>
      <c r="C407" s="30" t="s">
        <v>235</v>
      </c>
      <c r="D407" s="30" t="s">
        <v>2012</v>
      </c>
      <c r="E407" s="30" t="s">
        <v>2034</v>
      </c>
      <c r="F407" s="30" t="s">
        <v>2035</v>
      </c>
      <c r="G407" s="30"/>
      <c r="H407" s="30" t="s">
        <v>2543</v>
      </c>
      <c r="I407" s="30" t="s">
        <v>2015</v>
      </c>
      <c r="J407" s="30" t="s">
        <v>2015</v>
      </c>
      <c r="K407" s="30" t="s">
        <v>2018</v>
      </c>
      <c r="L407" s="30" t="s">
        <v>2017</v>
      </c>
      <c r="M407" s="30" t="s">
        <v>2018</v>
      </c>
      <c r="N407" s="30" t="s">
        <v>2018</v>
      </c>
      <c r="O407" s="30" t="s">
        <v>2015</v>
      </c>
      <c r="P407" s="32">
        <v>288</v>
      </c>
      <c r="Q407" s="32">
        <v>181</v>
      </c>
      <c r="R407" s="32">
        <v>35</v>
      </c>
      <c r="S407" s="32">
        <v>20</v>
      </c>
      <c r="T407" s="32">
        <v>5</v>
      </c>
      <c r="U407" s="32">
        <v>18</v>
      </c>
      <c r="V407" s="32">
        <v>15</v>
      </c>
      <c r="W407" s="32">
        <v>6</v>
      </c>
      <c r="X407" s="32">
        <v>53</v>
      </c>
      <c r="Y407" s="32">
        <v>35</v>
      </c>
      <c r="Z407" s="32">
        <v>11</v>
      </c>
      <c r="AA407" s="32">
        <v>102</v>
      </c>
      <c r="AB407" s="32">
        <v>58</v>
      </c>
      <c r="AC407" s="32">
        <v>15</v>
      </c>
      <c r="AD407" s="32">
        <v>22</v>
      </c>
      <c r="AE407" s="32">
        <v>18</v>
      </c>
      <c r="AF407" s="32">
        <v>7</v>
      </c>
      <c r="AG407" s="32">
        <v>124</v>
      </c>
      <c r="AH407" s="32">
        <v>76</v>
      </c>
      <c r="AI407" s="32">
        <v>22</v>
      </c>
      <c r="AJ407" s="32">
        <v>124</v>
      </c>
      <c r="AK407" s="32">
        <v>246</v>
      </c>
      <c r="AL407" s="32">
        <v>50.4</v>
      </c>
    </row>
    <row r="408" spans="1:38" ht="13.5" hidden="1" customHeight="1">
      <c r="A408" s="30" t="s">
        <v>2272</v>
      </c>
      <c r="B408" s="30" t="s">
        <v>2273</v>
      </c>
      <c r="C408" s="30" t="s">
        <v>235</v>
      </c>
      <c r="D408" s="30" t="s">
        <v>2012</v>
      </c>
      <c r="E408" s="30" t="s">
        <v>2034</v>
      </c>
      <c r="F408" s="30" t="s">
        <v>2035</v>
      </c>
      <c r="G408" s="30"/>
      <c r="H408" s="30" t="s">
        <v>2544</v>
      </c>
      <c r="I408" s="30" t="s">
        <v>2015</v>
      </c>
      <c r="J408" s="30" t="s">
        <v>2015</v>
      </c>
      <c r="K408" s="30" t="s">
        <v>2018</v>
      </c>
      <c r="L408" s="30" t="s">
        <v>2017</v>
      </c>
      <c r="M408" s="30" t="s">
        <v>2018</v>
      </c>
      <c r="N408" s="30" t="s">
        <v>2018</v>
      </c>
      <c r="O408" s="30" t="s">
        <v>2015</v>
      </c>
      <c r="P408" s="32">
        <v>854</v>
      </c>
      <c r="Q408" s="32">
        <v>488</v>
      </c>
      <c r="R408" s="32">
        <v>98</v>
      </c>
      <c r="S408" s="32">
        <v>47</v>
      </c>
      <c r="T408" s="32">
        <v>13</v>
      </c>
      <c r="U408" s="32">
        <v>35</v>
      </c>
      <c r="V408" s="32">
        <v>20</v>
      </c>
      <c r="W408" s="32">
        <v>11</v>
      </c>
      <c r="X408" s="32">
        <v>133</v>
      </c>
      <c r="Y408" s="32">
        <v>67</v>
      </c>
      <c r="Z408" s="32">
        <v>24</v>
      </c>
      <c r="AA408" s="32">
        <v>304</v>
      </c>
      <c r="AB408" s="32">
        <v>146</v>
      </c>
      <c r="AC408" s="32">
        <v>40</v>
      </c>
      <c r="AD408" s="32">
        <v>46</v>
      </c>
      <c r="AE408" s="32">
        <v>26</v>
      </c>
      <c r="AF408" s="32">
        <v>14</v>
      </c>
      <c r="AG408" s="32">
        <v>350</v>
      </c>
      <c r="AH408" s="32">
        <v>172</v>
      </c>
      <c r="AI408" s="32">
        <v>54</v>
      </c>
      <c r="AJ408" s="32">
        <v>350</v>
      </c>
      <c r="AK408" s="32">
        <v>851</v>
      </c>
      <c r="AL408" s="32">
        <v>41.1</v>
      </c>
    </row>
    <row r="409" spans="1:38" ht="13.5" hidden="1" customHeight="1">
      <c r="A409" s="30" t="s">
        <v>2272</v>
      </c>
      <c r="B409" s="30" t="s">
        <v>2273</v>
      </c>
      <c r="C409" s="30" t="s">
        <v>235</v>
      </c>
      <c r="D409" s="30" t="s">
        <v>2012</v>
      </c>
      <c r="E409" s="30" t="s">
        <v>2034</v>
      </c>
      <c r="F409" s="30" t="s">
        <v>2035</v>
      </c>
      <c r="G409" s="30"/>
      <c r="H409" s="30" t="s">
        <v>2545</v>
      </c>
      <c r="I409" s="30" t="s">
        <v>2015</v>
      </c>
      <c r="J409" s="30" t="s">
        <v>2015</v>
      </c>
      <c r="K409" s="30" t="s">
        <v>2018</v>
      </c>
      <c r="L409" s="30" t="s">
        <v>2017</v>
      </c>
      <c r="M409" s="30" t="s">
        <v>2018</v>
      </c>
      <c r="N409" s="30" t="s">
        <v>2018</v>
      </c>
      <c r="O409" s="30" t="s">
        <v>2015</v>
      </c>
      <c r="P409" s="32">
        <v>324</v>
      </c>
      <c r="Q409" s="32">
        <v>266</v>
      </c>
      <c r="R409" s="32">
        <v>36</v>
      </c>
      <c r="S409" s="32">
        <v>24</v>
      </c>
      <c r="T409" s="32">
        <v>11</v>
      </c>
      <c r="U409" s="32">
        <v>26</v>
      </c>
      <c r="V409" s="32">
        <v>21</v>
      </c>
      <c r="W409" s="32">
        <v>11</v>
      </c>
      <c r="X409" s="32">
        <v>62</v>
      </c>
      <c r="Y409" s="32">
        <v>45</v>
      </c>
      <c r="Z409" s="32">
        <v>22</v>
      </c>
      <c r="AA409" s="32">
        <v>104</v>
      </c>
      <c r="AB409" s="32">
        <v>70</v>
      </c>
      <c r="AC409" s="32">
        <v>32</v>
      </c>
      <c r="AD409" s="32">
        <v>36</v>
      </c>
      <c r="AE409" s="32">
        <v>29</v>
      </c>
      <c r="AF409" s="32">
        <v>15</v>
      </c>
      <c r="AG409" s="32">
        <v>140</v>
      </c>
      <c r="AH409" s="32">
        <v>99</v>
      </c>
      <c r="AI409" s="32">
        <v>47</v>
      </c>
      <c r="AJ409" s="32">
        <v>140</v>
      </c>
      <c r="AK409" s="32">
        <v>316</v>
      </c>
      <c r="AL409" s="32">
        <v>44.3</v>
      </c>
    </row>
    <row r="410" spans="1:38" ht="13.5" hidden="1" customHeight="1">
      <c r="A410" s="30" t="s">
        <v>2272</v>
      </c>
      <c r="B410" s="30" t="s">
        <v>2273</v>
      </c>
      <c r="C410" s="30" t="s">
        <v>235</v>
      </c>
      <c r="D410" s="30" t="s">
        <v>2012</v>
      </c>
      <c r="E410" s="30" t="s">
        <v>2034</v>
      </c>
      <c r="F410" s="30" t="s">
        <v>2035</v>
      </c>
      <c r="G410" s="30"/>
      <c r="H410" s="30" t="s">
        <v>2546</v>
      </c>
      <c r="I410" s="30" t="s">
        <v>2015</v>
      </c>
      <c r="J410" s="30" t="s">
        <v>2015</v>
      </c>
      <c r="K410" s="30" t="s">
        <v>2018</v>
      </c>
      <c r="L410" s="30" t="s">
        <v>2017</v>
      </c>
      <c r="M410" s="30" t="s">
        <v>2018</v>
      </c>
      <c r="N410" s="30" t="s">
        <v>2018</v>
      </c>
      <c r="O410" s="30" t="s">
        <v>2015</v>
      </c>
      <c r="P410" s="32">
        <v>62</v>
      </c>
      <c r="Q410" s="32">
        <v>173</v>
      </c>
      <c r="R410" s="32">
        <v>8</v>
      </c>
      <c r="S410" s="32">
        <v>7</v>
      </c>
      <c r="T410" s="32">
        <v>4</v>
      </c>
      <c r="U410" s="32">
        <v>7</v>
      </c>
      <c r="V410" s="32">
        <v>7</v>
      </c>
      <c r="W410" s="32">
        <v>2</v>
      </c>
      <c r="X410" s="32">
        <v>15</v>
      </c>
      <c r="Y410" s="32">
        <v>14</v>
      </c>
      <c r="Z410" s="32">
        <v>6</v>
      </c>
      <c r="AA410" s="32">
        <v>16</v>
      </c>
      <c r="AB410" s="32">
        <v>14</v>
      </c>
      <c r="AC410" s="32">
        <v>8</v>
      </c>
      <c r="AD410" s="32">
        <v>10</v>
      </c>
      <c r="AE410" s="32">
        <v>10</v>
      </c>
      <c r="AF410" s="32">
        <v>3</v>
      </c>
      <c r="AG410" s="32">
        <v>26</v>
      </c>
      <c r="AH410" s="32">
        <v>24</v>
      </c>
      <c r="AI410" s="32">
        <v>11</v>
      </c>
      <c r="AJ410" s="32">
        <v>26</v>
      </c>
      <c r="AK410" s="32">
        <v>55</v>
      </c>
      <c r="AL410" s="32">
        <v>47.3</v>
      </c>
    </row>
    <row r="411" spans="1:38" ht="13.5" hidden="1" customHeight="1">
      <c r="A411" s="30" t="s">
        <v>2272</v>
      </c>
      <c r="B411" s="30" t="s">
        <v>2273</v>
      </c>
      <c r="C411" s="30" t="s">
        <v>235</v>
      </c>
      <c r="D411" s="30" t="s">
        <v>2012</v>
      </c>
      <c r="E411" s="30" t="s">
        <v>2034</v>
      </c>
      <c r="F411" s="30" t="s">
        <v>2035</v>
      </c>
      <c r="G411" s="30"/>
      <c r="H411" s="30" t="s">
        <v>2547</v>
      </c>
      <c r="I411" s="30" t="s">
        <v>2015</v>
      </c>
      <c r="J411" s="30" t="s">
        <v>2015</v>
      </c>
      <c r="K411" s="30" t="s">
        <v>2018</v>
      </c>
      <c r="L411" s="30" t="s">
        <v>2017</v>
      </c>
      <c r="M411" s="30" t="s">
        <v>2018</v>
      </c>
      <c r="N411" s="30" t="s">
        <v>2018</v>
      </c>
      <c r="O411" s="30" t="s">
        <v>2015</v>
      </c>
      <c r="P411" s="32">
        <v>1455</v>
      </c>
      <c r="Q411" s="32">
        <v>895</v>
      </c>
      <c r="R411" s="32">
        <v>167</v>
      </c>
      <c r="S411" s="32">
        <v>70</v>
      </c>
      <c r="T411" s="32">
        <v>28</v>
      </c>
      <c r="U411" s="32">
        <v>111</v>
      </c>
      <c r="V411" s="32">
        <v>72</v>
      </c>
      <c r="W411" s="32">
        <v>44</v>
      </c>
      <c r="X411" s="32">
        <v>278</v>
      </c>
      <c r="Y411" s="32">
        <v>142</v>
      </c>
      <c r="Z411" s="32">
        <v>72</v>
      </c>
      <c r="AA411" s="32">
        <v>484</v>
      </c>
      <c r="AB411" s="32">
        <v>203</v>
      </c>
      <c r="AC411" s="32">
        <v>81</v>
      </c>
      <c r="AD411" s="32">
        <v>133</v>
      </c>
      <c r="AE411" s="32">
        <v>86</v>
      </c>
      <c r="AF411" s="32">
        <v>53</v>
      </c>
      <c r="AG411" s="32">
        <v>617</v>
      </c>
      <c r="AH411" s="32">
        <v>289</v>
      </c>
      <c r="AI411" s="32">
        <v>134</v>
      </c>
      <c r="AJ411" s="32">
        <v>617</v>
      </c>
      <c r="AK411" s="32">
        <v>1442</v>
      </c>
      <c r="AL411" s="32">
        <v>42.8</v>
      </c>
    </row>
    <row r="412" spans="1:38" ht="13.5" hidden="1" customHeight="1">
      <c r="A412" s="30" t="s">
        <v>2272</v>
      </c>
      <c r="B412" s="30" t="s">
        <v>2273</v>
      </c>
      <c r="C412" s="30" t="s">
        <v>235</v>
      </c>
      <c r="D412" s="30" t="s">
        <v>2012</v>
      </c>
      <c r="E412" s="30" t="s">
        <v>2034</v>
      </c>
      <c r="F412" s="30" t="s">
        <v>2035</v>
      </c>
      <c r="G412" s="30"/>
      <c r="H412" s="30" t="s">
        <v>2548</v>
      </c>
      <c r="I412" s="30" t="s">
        <v>2015</v>
      </c>
      <c r="J412" s="30" t="s">
        <v>2015</v>
      </c>
      <c r="K412" s="30" t="s">
        <v>2018</v>
      </c>
      <c r="L412" s="30" t="s">
        <v>2017</v>
      </c>
      <c r="M412" s="30" t="s">
        <v>2018</v>
      </c>
      <c r="N412" s="30" t="s">
        <v>2018</v>
      </c>
      <c r="O412" s="30" t="s">
        <v>2015</v>
      </c>
      <c r="P412" s="32">
        <v>1722</v>
      </c>
      <c r="Q412" s="32">
        <v>720</v>
      </c>
      <c r="R412" s="32">
        <v>195</v>
      </c>
      <c r="S412" s="32">
        <v>102</v>
      </c>
      <c r="T412" s="32">
        <v>51</v>
      </c>
      <c r="U412" s="32">
        <v>132</v>
      </c>
      <c r="V412" s="32">
        <v>98</v>
      </c>
      <c r="W412" s="32">
        <v>61</v>
      </c>
      <c r="X412" s="32">
        <v>327</v>
      </c>
      <c r="Y412" s="32">
        <v>200</v>
      </c>
      <c r="Z412" s="32">
        <v>112</v>
      </c>
      <c r="AA412" s="32">
        <v>585</v>
      </c>
      <c r="AB412" s="32">
        <v>306</v>
      </c>
      <c r="AC412" s="32">
        <v>153</v>
      </c>
      <c r="AD412" s="32">
        <v>158</v>
      </c>
      <c r="AE412" s="32">
        <v>118</v>
      </c>
      <c r="AF412" s="32">
        <v>73</v>
      </c>
      <c r="AG412" s="32">
        <v>743</v>
      </c>
      <c r="AH412" s="32">
        <v>424</v>
      </c>
      <c r="AI412" s="32">
        <v>226</v>
      </c>
      <c r="AJ412" s="32">
        <v>743</v>
      </c>
      <c r="AK412" s="32">
        <v>1615</v>
      </c>
      <c r="AL412" s="32">
        <v>46</v>
      </c>
    </row>
    <row r="413" spans="1:38" ht="13.5" hidden="1" customHeight="1">
      <c r="A413" s="30" t="s">
        <v>2272</v>
      </c>
      <c r="B413" s="30" t="s">
        <v>2273</v>
      </c>
      <c r="C413" s="30" t="s">
        <v>235</v>
      </c>
      <c r="D413" s="30" t="s">
        <v>2012</v>
      </c>
      <c r="E413" s="30" t="s">
        <v>2034</v>
      </c>
      <c r="F413" s="30" t="s">
        <v>2035</v>
      </c>
      <c r="G413" s="30"/>
      <c r="H413" s="30" t="s">
        <v>2549</v>
      </c>
      <c r="I413" s="30" t="s">
        <v>2015</v>
      </c>
      <c r="J413" s="30" t="s">
        <v>2015</v>
      </c>
      <c r="K413" s="30" t="s">
        <v>2018</v>
      </c>
      <c r="L413" s="30" t="s">
        <v>2017</v>
      </c>
      <c r="M413" s="30" t="s">
        <v>2018</v>
      </c>
      <c r="N413" s="30" t="s">
        <v>2018</v>
      </c>
      <c r="O413" s="30" t="s">
        <v>2015</v>
      </c>
      <c r="P413" s="32">
        <v>1307</v>
      </c>
      <c r="Q413" s="32">
        <v>842</v>
      </c>
      <c r="R413" s="32">
        <v>113</v>
      </c>
      <c r="S413" s="32">
        <v>54</v>
      </c>
      <c r="T413" s="32">
        <v>22</v>
      </c>
      <c r="U413" s="32">
        <v>84</v>
      </c>
      <c r="V413" s="32">
        <v>60</v>
      </c>
      <c r="W413" s="32">
        <v>31</v>
      </c>
      <c r="X413" s="32">
        <v>197</v>
      </c>
      <c r="Y413" s="32">
        <v>114</v>
      </c>
      <c r="Z413" s="32">
        <v>53</v>
      </c>
      <c r="AA413" s="32">
        <v>328</v>
      </c>
      <c r="AB413" s="32">
        <v>157</v>
      </c>
      <c r="AC413" s="32">
        <v>64</v>
      </c>
      <c r="AD413" s="32">
        <v>109</v>
      </c>
      <c r="AE413" s="32">
        <v>78</v>
      </c>
      <c r="AF413" s="32">
        <v>40</v>
      </c>
      <c r="AG413" s="32">
        <v>437</v>
      </c>
      <c r="AH413" s="32">
        <v>235</v>
      </c>
      <c r="AI413" s="32">
        <v>104</v>
      </c>
      <c r="AJ413" s="32">
        <v>437</v>
      </c>
      <c r="AK413" s="32">
        <v>1295</v>
      </c>
      <c r="AL413" s="32">
        <v>33.700000000000003</v>
      </c>
    </row>
    <row r="414" spans="1:38" ht="13.5" hidden="1" customHeight="1">
      <c r="A414" s="30" t="s">
        <v>2272</v>
      </c>
      <c r="B414" s="30" t="s">
        <v>2273</v>
      </c>
      <c r="C414" s="30" t="s">
        <v>235</v>
      </c>
      <c r="D414" s="30" t="s">
        <v>2012</v>
      </c>
      <c r="E414" s="30" t="s">
        <v>2036</v>
      </c>
      <c r="F414" s="30" t="s">
        <v>2037</v>
      </c>
      <c r="G414" s="30"/>
      <c r="H414" s="30" t="s">
        <v>2550</v>
      </c>
      <c r="I414" s="30" t="s">
        <v>2015</v>
      </c>
      <c r="J414" s="30" t="s">
        <v>2015</v>
      </c>
      <c r="K414" s="30" t="s">
        <v>2018</v>
      </c>
      <c r="L414" s="30" t="s">
        <v>2017</v>
      </c>
      <c r="M414" s="30" t="s">
        <v>2018</v>
      </c>
      <c r="N414" s="30" t="s">
        <v>2018</v>
      </c>
      <c r="O414" s="30" t="s">
        <v>2015</v>
      </c>
      <c r="P414" s="32">
        <v>816</v>
      </c>
      <c r="Q414" s="32">
        <v>347</v>
      </c>
      <c r="R414" s="32">
        <v>111</v>
      </c>
      <c r="S414" s="32">
        <v>59</v>
      </c>
      <c r="T414" s="32">
        <v>28</v>
      </c>
      <c r="U414" s="32">
        <v>39</v>
      </c>
      <c r="V414" s="32">
        <v>27</v>
      </c>
      <c r="W414" s="32">
        <v>14</v>
      </c>
      <c r="X414" s="32">
        <v>150</v>
      </c>
      <c r="Y414" s="32">
        <v>86</v>
      </c>
      <c r="Z414" s="32">
        <v>42</v>
      </c>
      <c r="AA414" s="32">
        <v>344</v>
      </c>
      <c r="AB414" s="32">
        <v>183</v>
      </c>
      <c r="AC414" s="32">
        <v>87</v>
      </c>
      <c r="AD414" s="32">
        <v>47</v>
      </c>
      <c r="AE414" s="32">
        <v>32</v>
      </c>
      <c r="AF414" s="32">
        <v>17</v>
      </c>
      <c r="AG414" s="32">
        <v>391</v>
      </c>
      <c r="AH414" s="32">
        <v>215</v>
      </c>
      <c r="AI414" s="32">
        <v>104</v>
      </c>
      <c r="AJ414" s="32">
        <v>391</v>
      </c>
      <c r="AK414" s="32">
        <v>837</v>
      </c>
      <c r="AL414" s="32">
        <v>46.7</v>
      </c>
    </row>
    <row r="415" spans="1:38" ht="13.5" hidden="1" customHeight="1">
      <c r="A415" s="30" t="s">
        <v>2272</v>
      </c>
      <c r="B415" s="30" t="s">
        <v>2273</v>
      </c>
      <c r="C415" s="30" t="s">
        <v>235</v>
      </c>
      <c r="D415" s="30" t="s">
        <v>2012</v>
      </c>
      <c r="E415" s="30" t="s">
        <v>2036</v>
      </c>
      <c r="F415" s="30" t="s">
        <v>2037</v>
      </c>
      <c r="G415" s="30"/>
      <c r="H415" s="30" t="s">
        <v>2551</v>
      </c>
      <c r="I415" s="30" t="s">
        <v>2015</v>
      </c>
      <c r="J415" s="30" t="s">
        <v>2015</v>
      </c>
      <c r="K415" s="30" t="s">
        <v>2018</v>
      </c>
      <c r="L415" s="30" t="s">
        <v>2017</v>
      </c>
      <c r="M415" s="30" t="s">
        <v>2018</v>
      </c>
      <c r="N415" s="30" t="s">
        <v>2018</v>
      </c>
      <c r="O415" s="30" t="s">
        <v>2015</v>
      </c>
      <c r="P415" s="32">
        <v>253</v>
      </c>
      <c r="Q415" s="32">
        <v>124</v>
      </c>
      <c r="R415" s="32">
        <v>20</v>
      </c>
      <c r="S415" s="32">
        <v>8</v>
      </c>
      <c r="T415" s="32">
        <v>2</v>
      </c>
      <c r="U415" s="32">
        <v>23</v>
      </c>
      <c r="V415" s="32">
        <v>15</v>
      </c>
      <c r="W415" s="32">
        <v>0</v>
      </c>
      <c r="X415" s="32">
        <v>43</v>
      </c>
      <c r="Y415" s="32">
        <v>23</v>
      </c>
      <c r="Z415" s="32">
        <v>2</v>
      </c>
      <c r="AA415" s="32">
        <v>62</v>
      </c>
      <c r="AB415" s="32">
        <v>25</v>
      </c>
      <c r="AC415" s="32">
        <v>6</v>
      </c>
      <c r="AD415" s="32">
        <v>32</v>
      </c>
      <c r="AE415" s="32">
        <v>21</v>
      </c>
      <c r="AF415" s="32">
        <v>0</v>
      </c>
      <c r="AG415" s="32">
        <v>94</v>
      </c>
      <c r="AH415" s="32">
        <v>46</v>
      </c>
      <c r="AI415" s="32">
        <v>6</v>
      </c>
      <c r="AJ415" s="32">
        <v>94</v>
      </c>
      <c r="AK415" s="32">
        <v>232</v>
      </c>
      <c r="AL415" s="32">
        <v>40.5</v>
      </c>
    </row>
    <row r="416" spans="1:38" ht="13.5" hidden="1" customHeight="1">
      <c r="A416" s="30" t="s">
        <v>2272</v>
      </c>
      <c r="B416" s="30" t="s">
        <v>2273</v>
      </c>
      <c r="C416" s="30" t="s">
        <v>235</v>
      </c>
      <c r="D416" s="30" t="s">
        <v>2012</v>
      </c>
      <c r="E416" s="30" t="s">
        <v>2036</v>
      </c>
      <c r="F416" s="30" t="s">
        <v>2037</v>
      </c>
      <c r="G416" s="30"/>
      <c r="H416" s="30" t="s">
        <v>2552</v>
      </c>
      <c r="I416" s="30" t="s">
        <v>2015</v>
      </c>
      <c r="J416" s="30" t="s">
        <v>2015</v>
      </c>
      <c r="K416" s="30" t="s">
        <v>2018</v>
      </c>
      <c r="L416" s="30" t="s">
        <v>2017</v>
      </c>
      <c r="M416" s="30" t="s">
        <v>2018</v>
      </c>
      <c r="N416" s="30" t="s">
        <v>2018</v>
      </c>
      <c r="O416" s="30" t="s">
        <v>2015</v>
      </c>
      <c r="P416" s="32">
        <v>1186</v>
      </c>
      <c r="Q416" s="32">
        <v>502</v>
      </c>
      <c r="R416" s="32">
        <v>148</v>
      </c>
      <c r="S416" s="32">
        <v>82</v>
      </c>
      <c r="T416" s="32">
        <v>38</v>
      </c>
      <c r="U416" s="32">
        <v>58</v>
      </c>
      <c r="V416" s="32">
        <v>38</v>
      </c>
      <c r="W416" s="32">
        <v>23</v>
      </c>
      <c r="X416" s="32">
        <v>206</v>
      </c>
      <c r="Y416" s="32">
        <v>120</v>
      </c>
      <c r="Z416" s="32">
        <v>61</v>
      </c>
      <c r="AA416" s="32">
        <v>459</v>
      </c>
      <c r="AB416" s="32">
        <v>254</v>
      </c>
      <c r="AC416" s="32">
        <v>118</v>
      </c>
      <c r="AD416" s="32">
        <v>93</v>
      </c>
      <c r="AE416" s="32">
        <v>61</v>
      </c>
      <c r="AF416" s="32">
        <v>37</v>
      </c>
      <c r="AG416" s="32">
        <v>552</v>
      </c>
      <c r="AH416" s="32">
        <v>315</v>
      </c>
      <c r="AI416" s="32">
        <v>155</v>
      </c>
      <c r="AJ416" s="32">
        <v>552</v>
      </c>
      <c r="AK416" s="32">
        <v>1186</v>
      </c>
      <c r="AL416" s="32">
        <v>46.5</v>
      </c>
    </row>
    <row r="417" spans="1:38" ht="13.5" hidden="1" customHeight="1">
      <c r="A417" s="30" t="s">
        <v>2272</v>
      </c>
      <c r="B417" s="30" t="s">
        <v>2273</v>
      </c>
      <c r="C417" s="30" t="s">
        <v>235</v>
      </c>
      <c r="D417" s="30" t="s">
        <v>2012</v>
      </c>
      <c r="E417" s="30" t="s">
        <v>2036</v>
      </c>
      <c r="F417" s="30" t="s">
        <v>2037</v>
      </c>
      <c r="G417" s="30"/>
      <c r="H417" s="30" t="s">
        <v>2553</v>
      </c>
      <c r="I417" s="30" t="s">
        <v>2015</v>
      </c>
      <c r="J417" s="30" t="s">
        <v>2015</v>
      </c>
      <c r="K417" s="30" t="s">
        <v>2018</v>
      </c>
      <c r="L417" s="30" t="s">
        <v>2017</v>
      </c>
      <c r="M417" s="30" t="s">
        <v>2018</v>
      </c>
      <c r="N417" s="30" t="s">
        <v>2018</v>
      </c>
      <c r="O417" s="30" t="s">
        <v>2015</v>
      </c>
      <c r="P417" s="32">
        <v>1242</v>
      </c>
      <c r="Q417" s="32">
        <v>614</v>
      </c>
      <c r="R417" s="32">
        <v>107</v>
      </c>
      <c r="S417" s="32">
        <v>43</v>
      </c>
      <c r="T417" s="32">
        <v>19</v>
      </c>
      <c r="U417" s="32">
        <v>90</v>
      </c>
      <c r="V417" s="32">
        <v>53</v>
      </c>
      <c r="W417" s="32">
        <v>24</v>
      </c>
      <c r="X417" s="32">
        <v>197</v>
      </c>
      <c r="Y417" s="32">
        <v>96</v>
      </c>
      <c r="Z417" s="32">
        <v>43</v>
      </c>
      <c r="AA417" s="32">
        <v>310</v>
      </c>
      <c r="AB417" s="32">
        <v>125</v>
      </c>
      <c r="AC417" s="32">
        <v>56</v>
      </c>
      <c r="AD417" s="32">
        <v>111</v>
      </c>
      <c r="AE417" s="32">
        <v>65</v>
      </c>
      <c r="AF417" s="32">
        <v>30</v>
      </c>
      <c r="AG417" s="32">
        <v>421</v>
      </c>
      <c r="AH417" s="32">
        <v>190</v>
      </c>
      <c r="AI417" s="32">
        <v>86</v>
      </c>
      <c r="AJ417" s="32">
        <v>421</v>
      </c>
      <c r="AK417" s="32">
        <v>1242</v>
      </c>
      <c r="AL417" s="32">
        <v>33.9</v>
      </c>
    </row>
    <row r="418" spans="1:38" ht="13.5" hidden="1" customHeight="1">
      <c r="A418" s="30" t="s">
        <v>2272</v>
      </c>
      <c r="B418" s="30" t="s">
        <v>2273</v>
      </c>
      <c r="C418" s="30" t="s">
        <v>235</v>
      </c>
      <c r="D418" s="30" t="s">
        <v>2012</v>
      </c>
      <c r="E418" s="30" t="s">
        <v>2036</v>
      </c>
      <c r="F418" s="30" t="s">
        <v>2037</v>
      </c>
      <c r="G418" s="30"/>
      <c r="H418" s="30" t="s">
        <v>2076</v>
      </c>
      <c r="I418" s="30" t="s">
        <v>2015</v>
      </c>
      <c r="J418" s="30" t="s">
        <v>2015</v>
      </c>
      <c r="K418" s="30" t="s">
        <v>2038</v>
      </c>
      <c r="L418" s="30" t="s">
        <v>2017</v>
      </c>
      <c r="M418" s="30" t="s">
        <v>2018</v>
      </c>
      <c r="N418" s="30" t="s">
        <v>2038</v>
      </c>
      <c r="O418" s="30" t="s">
        <v>2039</v>
      </c>
      <c r="P418" s="32">
        <v>8987</v>
      </c>
      <c r="Q418" s="32">
        <v>4064</v>
      </c>
      <c r="R418" s="32">
        <v>758</v>
      </c>
      <c r="S418" s="32">
        <v>367</v>
      </c>
      <c r="T418" s="32">
        <v>217</v>
      </c>
      <c r="U418" s="32">
        <v>911</v>
      </c>
      <c r="V418" s="32">
        <v>651</v>
      </c>
      <c r="W418" s="32">
        <v>382</v>
      </c>
      <c r="X418" s="32">
        <v>1669</v>
      </c>
      <c r="Y418" s="32">
        <v>1018</v>
      </c>
      <c r="Z418" s="32">
        <v>599</v>
      </c>
      <c r="AA418" s="32">
        <v>2195</v>
      </c>
      <c r="AB418" s="32">
        <v>1072</v>
      </c>
      <c r="AC418" s="32">
        <v>637</v>
      </c>
      <c r="AD418" s="32">
        <v>1158</v>
      </c>
      <c r="AE418" s="32">
        <v>829</v>
      </c>
      <c r="AF418" s="32">
        <v>481</v>
      </c>
      <c r="AG418" s="32">
        <v>3353</v>
      </c>
      <c r="AH418" s="32">
        <v>1901</v>
      </c>
      <c r="AI418" s="32">
        <v>1118</v>
      </c>
      <c r="AJ418" s="32">
        <v>3353</v>
      </c>
      <c r="AK418" s="32">
        <v>8820</v>
      </c>
      <c r="AL418" s="32">
        <v>38</v>
      </c>
    </row>
    <row r="419" spans="1:38" ht="13.5" hidden="1" customHeight="1">
      <c r="A419" s="30" t="s">
        <v>2272</v>
      </c>
      <c r="B419" s="30" t="s">
        <v>2273</v>
      </c>
      <c r="C419" s="30" t="s">
        <v>235</v>
      </c>
      <c r="D419" s="30" t="s">
        <v>2012</v>
      </c>
      <c r="E419" s="30" t="s">
        <v>2036</v>
      </c>
      <c r="F419" s="30" t="s">
        <v>2037</v>
      </c>
      <c r="G419" s="30"/>
      <c r="H419" s="30" t="s">
        <v>2554</v>
      </c>
      <c r="I419" s="30" t="s">
        <v>2015</v>
      </c>
      <c r="J419" s="30" t="s">
        <v>2015</v>
      </c>
      <c r="K419" s="30" t="s">
        <v>2018</v>
      </c>
      <c r="L419" s="30" t="s">
        <v>2017</v>
      </c>
      <c r="M419" s="30" t="s">
        <v>2018</v>
      </c>
      <c r="N419" s="30" t="s">
        <v>2018</v>
      </c>
      <c r="O419" s="30" t="s">
        <v>2015</v>
      </c>
      <c r="P419" s="32">
        <v>351</v>
      </c>
      <c r="Q419" s="32">
        <v>308</v>
      </c>
      <c r="R419" s="32">
        <v>55</v>
      </c>
      <c r="S419" s="32">
        <v>32</v>
      </c>
      <c r="T419" s="32">
        <v>8</v>
      </c>
      <c r="U419" s="32">
        <v>23</v>
      </c>
      <c r="V419" s="32">
        <v>17</v>
      </c>
      <c r="W419" s="32">
        <v>11</v>
      </c>
      <c r="X419" s="32">
        <v>78</v>
      </c>
      <c r="Y419" s="32">
        <v>49</v>
      </c>
      <c r="Z419" s="32">
        <v>19</v>
      </c>
      <c r="AA419" s="32">
        <v>176</v>
      </c>
      <c r="AB419" s="32">
        <v>102</v>
      </c>
      <c r="AC419" s="32">
        <v>26</v>
      </c>
      <c r="AD419" s="32">
        <v>28</v>
      </c>
      <c r="AE419" s="32">
        <v>20</v>
      </c>
      <c r="AF419" s="32">
        <v>13</v>
      </c>
      <c r="AG419" s="32">
        <v>204</v>
      </c>
      <c r="AH419" s="32">
        <v>122</v>
      </c>
      <c r="AI419" s="32">
        <v>39</v>
      </c>
      <c r="AJ419" s="32">
        <v>204</v>
      </c>
      <c r="AK419" s="32">
        <v>384</v>
      </c>
      <c r="AL419" s="32">
        <v>53.1</v>
      </c>
    </row>
    <row r="420" spans="1:38" ht="13.5" hidden="1" customHeight="1">
      <c r="A420" s="30" t="s">
        <v>2272</v>
      </c>
      <c r="B420" s="30" t="s">
        <v>2273</v>
      </c>
      <c r="C420" s="30" t="s">
        <v>235</v>
      </c>
      <c r="D420" s="30" t="s">
        <v>2012</v>
      </c>
      <c r="E420" s="30" t="s">
        <v>2036</v>
      </c>
      <c r="F420" s="30" t="s">
        <v>2037</v>
      </c>
      <c r="G420" s="30"/>
      <c r="H420" s="30" t="s">
        <v>2555</v>
      </c>
      <c r="I420" s="30" t="s">
        <v>2015</v>
      </c>
      <c r="J420" s="30" t="s">
        <v>2015</v>
      </c>
      <c r="K420" s="30" t="s">
        <v>2018</v>
      </c>
      <c r="L420" s="30" t="s">
        <v>2017</v>
      </c>
      <c r="M420" s="30" t="s">
        <v>2018</v>
      </c>
      <c r="N420" s="30" t="s">
        <v>2018</v>
      </c>
      <c r="O420" s="30" t="s">
        <v>2015</v>
      </c>
      <c r="P420" s="32">
        <v>2416</v>
      </c>
      <c r="Q420" s="32">
        <v>995</v>
      </c>
      <c r="R420" s="32">
        <v>231</v>
      </c>
      <c r="S420" s="32">
        <v>126</v>
      </c>
      <c r="T420" s="32">
        <v>63</v>
      </c>
      <c r="U420" s="32">
        <v>116</v>
      </c>
      <c r="V420" s="32">
        <v>73</v>
      </c>
      <c r="W420" s="32">
        <v>39</v>
      </c>
      <c r="X420" s="32">
        <v>347</v>
      </c>
      <c r="Y420" s="32">
        <v>199</v>
      </c>
      <c r="Z420" s="32">
        <v>102</v>
      </c>
      <c r="AA420" s="32">
        <v>682</v>
      </c>
      <c r="AB420" s="32">
        <v>372</v>
      </c>
      <c r="AC420" s="32">
        <v>186</v>
      </c>
      <c r="AD420" s="32">
        <v>157</v>
      </c>
      <c r="AE420" s="32">
        <v>100</v>
      </c>
      <c r="AF420" s="32">
        <v>54</v>
      </c>
      <c r="AG420" s="32">
        <v>839</v>
      </c>
      <c r="AH420" s="32">
        <v>472</v>
      </c>
      <c r="AI420" s="32">
        <v>240</v>
      </c>
      <c r="AJ420" s="32">
        <v>839</v>
      </c>
      <c r="AK420" s="32">
        <v>2416</v>
      </c>
      <c r="AL420" s="32">
        <v>34.700000000000003</v>
      </c>
    </row>
    <row r="421" spans="1:38" ht="13.5" hidden="1" customHeight="1">
      <c r="A421" s="30" t="s">
        <v>2272</v>
      </c>
      <c r="B421" s="30" t="s">
        <v>2273</v>
      </c>
      <c r="C421" s="30" t="s">
        <v>235</v>
      </c>
      <c r="D421" s="30" t="s">
        <v>2012</v>
      </c>
      <c r="E421" s="30" t="s">
        <v>2036</v>
      </c>
      <c r="F421" s="30" t="s">
        <v>2037</v>
      </c>
      <c r="G421" s="30"/>
      <c r="H421" s="30" t="s">
        <v>2556</v>
      </c>
      <c r="I421" s="30" t="s">
        <v>2015</v>
      </c>
      <c r="J421" s="30" t="s">
        <v>2015</v>
      </c>
      <c r="K421" s="30" t="s">
        <v>2018</v>
      </c>
      <c r="L421" s="30" t="s">
        <v>2017</v>
      </c>
      <c r="M421" s="30" t="s">
        <v>2018</v>
      </c>
      <c r="N421" s="30" t="s">
        <v>2018</v>
      </c>
      <c r="O421" s="30" t="s">
        <v>2015</v>
      </c>
      <c r="P421" s="32">
        <v>144</v>
      </c>
      <c r="Q421" s="32">
        <v>96</v>
      </c>
      <c r="R421" s="32">
        <v>24</v>
      </c>
      <c r="S421" s="32">
        <v>15</v>
      </c>
      <c r="T421" s="32">
        <v>6</v>
      </c>
      <c r="U421" s="32">
        <v>8</v>
      </c>
      <c r="V421" s="32">
        <v>8</v>
      </c>
      <c r="W421" s="32">
        <v>7</v>
      </c>
      <c r="X421" s="32">
        <v>32</v>
      </c>
      <c r="Y421" s="32">
        <v>23</v>
      </c>
      <c r="Z421" s="32">
        <v>13</v>
      </c>
      <c r="AA421" s="32">
        <v>60</v>
      </c>
      <c r="AB421" s="32">
        <v>38</v>
      </c>
      <c r="AC421" s="32">
        <v>15</v>
      </c>
      <c r="AD421" s="32">
        <v>8</v>
      </c>
      <c r="AE421" s="32">
        <v>8</v>
      </c>
      <c r="AF421" s="32">
        <v>7</v>
      </c>
      <c r="AG421" s="32">
        <v>68</v>
      </c>
      <c r="AH421" s="32">
        <v>46</v>
      </c>
      <c r="AI421" s="32">
        <v>22</v>
      </c>
      <c r="AJ421" s="32">
        <v>68</v>
      </c>
      <c r="AK421" s="32">
        <v>127</v>
      </c>
      <c r="AL421" s="32">
        <v>53.5</v>
      </c>
    </row>
    <row r="422" spans="1:38" ht="13.5" hidden="1" customHeight="1">
      <c r="A422" s="30" t="s">
        <v>2272</v>
      </c>
      <c r="B422" s="30" t="s">
        <v>2273</v>
      </c>
      <c r="C422" s="30" t="s">
        <v>235</v>
      </c>
      <c r="D422" s="30" t="s">
        <v>2012</v>
      </c>
      <c r="E422" s="30" t="s">
        <v>2036</v>
      </c>
      <c r="F422" s="30" t="s">
        <v>2037</v>
      </c>
      <c r="G422" s="30"/>
      <c r="H422" s="30" t="s">
        <v>2557</v>
      </c>
      <c r="I422" s="30" t="s">
        <v>2015</v>
      </c>
      <c r="J422" s="30" t="s">
        <v>2015</v>
      </c>
      <c r="K422" s="30" t="s">
        <v>2018</v>
      </c>
      <c r="L422" s="30" t="s">
        <v>2017</v>
      </c>
      <c r="M422" s="30" t="s">
        <v>2018</v>
      </c>
      <c r="N422" s="30" t="s">
        <v>2018</v>
      </c>
      <c r="O422" s="30" t="s">
        <v>2015</v>
      </c>
      <c r="P422" s="32">
        <v>1397</v>
      </c>
      <c r="Q422" s="32">
        <v>470</v>
      </c>
      <c r="R422" s="32">
        <v>123</v>
      </c>
      <c r="S422" s="32">
        <v>50</v>
      </c>
      <c r="T422" s="32">
        <v>21</v>
      </c>
      <c r="U422" s="32">
        <v>66</v>
      </c>
      <c r="V422" s="32">
        <v>55</v>
      </c>
      <c r="W422" s="32">
        <v>28</v>
      </c>
      <c r="X422" s="32">
        <v>189</v>
      </c>
      <c r="Y422" s="32">
        <v>105</v>
      </c>
      <c r="Z422" s="32">
        <v>49</v>
      </c>
      <c r="AA422" s="32">
        <v>369</v>
      </c>
      <c r="AB422" s="32">
        <v>150</v>
      </c>
      <c r="AC422" s="32">
        <v>63</v>
      </c>
      <c r="AD422" s="32">
        <v>79</v>
      </c>
      <c r="AE422" s="32">
        <v>66</v>
      </c>
      <c r="AF422" s="32">
        <v>34</v>
      </c>
      <c r="AG422" s="32">
        <v>448</v>
      </c>
      <c r="AH422" s="32">
        <v>216</v>
      </c>
      <c r="AI422" s="32">
        <v>97</v>
      </c>
      <c r="AJ422" s="32">
        <v>448</v>
      </c>
      <c r="AK422" s="32">
        <v>1143</v>
      </c>
      <c r="AL422" s="32">
        <v>39.200000000000003</v>
      </c>
    </row>
    <row r="423" spans="1:38" ht="13.5" hidden="1" customHeight="1">
      <c r="A423" s="30" t="s">
        <v>2272</v>
      </c>
      <c r="B423" s="30" t="s">
        <v>2273</v>
      </c>
      <c r="C423" s="30" t="s">
        <v>235</v>
      </c>
      <c r="D423" s="30" t="s">
        <v>2012</v>
      </c>
      <c r="E423" s="30" t="s">
        <v>2036</v>
      </c>
      <c r="F423" s="30" t="s">
        <v>2037</v>
      </c>
      <c r="G423" s="30"/>
      <c r="H423" s="30" t="s">
        <v>2558</v>
      </c>
      <c r="I423" s="30" t="s">
        <v>2015</v>
      </c>
      <c r="J423" s="30" t="s">
        <v>2015</v>
      </c>
      <c r="K423" s="30" t="s">
        <v>2018</v>
      </c>
      <c r="L423" s="30" t="s">
        <v>2017</v>
      </c>
      <c r="M423" s="30" t="s">
        <v>2018</v>
      </c>
      <c r="N423" s="30" t="s">
        <v>2018</v>
      </c>
      <c r="O423" s="30" t="s">
        <v>2015</v>
      </c>
      <c r="P423" s="32">
        <v>525</v>
      </c>
      <c r="Q423" s="32">
        <v>223</v>
      </c>
      <c r="R423" s="32">
        <v>50</v>
      </c>
      <c r="S423" s="32">
        <v>34</v>
      </c>
      <c r="T423" s="32">
        <v>19</v>
      </c>
      <c r="U423" s="32">
        <v>42</v>
      </c>
      <c r="V423" s="32">
        <v>33</v>
      </c>
      <c r="W423" s="32">
        <v>17</v>
      </c>
      <c r="X423" s="32">
        <v>92</v>
      </c>
      <c r="Y423" s="32">
        <v>67</v>
      </c>
      <c r="Z423" s="32">
        <v>36</v>
      </c>
      <c r="AA423" s="32">
        <v>160</v>
      </c>
      <c r="AB423" s="32">
        <v>109</v>
      </c>
      <c r="AC423" s="32">
        <v>61</v>
      </c>
      <c r="AD423" s="32">
        <v>50</v>
      </c>
      <c r="AE423" s="32">
        <v>40</v>
      </c>
      <c r="AF423" s="32">
        <v>20</v>
      </c>
      <c r="AG423" s="32">
        <v>210</v>
      </c>
      <c r="AH423" s="32">
        <v>149</v>
      </c>
      <c r="AI423" s="32">
        <v>81</v>
      </c>
      <c r="AJ423" s="32">
        <v>210</v>
      </c>
      <c r="AK423" s="32">
        <v>552</v>
      </c>
      <c r="AL423" s="32">
        <v>38</v>
      </c>
    </row>
    <row r="424" spans="1:38" ht="13.5" hidden="1" customHeight="1">
      <c r="A424" s="30" t="s">
        <v>2272</v>
      </c>
      <c r="B424" s="30" t="s">
        <v>2273</v>
      </c>
      <c r="C424" s="30" t="s">
        <v>235</v>
      </c>
      <c r="D424" s="30" t="s">
        <v>2012</v>
      </c>
      <c r="E424" s="30" t="s">
        <v>2036</v>
      </c>
      <c r="F424" s="30" t="s">
        <v>2037</v>
      </c>
      <c r="G424" s="30"/>
      <c r="H424" s="30" t="s">
        <v>2559</v>
      </c>
      <c r="I424" s="30" t="s">
        <v>2015</v>
      </c>
      <c r="J424" s="30" t="s">
        <v>2015</v>
      </c>
      <c r="K424" s="30" t="s">
        <v>2018</v>
      </c>
      <c r="L424" s="30" t="s">
        <v>2017</v>
      </c>
      <c r="M424" s="30" t="s">
        <v>2018</v>
      </c>
      <c r="N424" s="30" t="s">
        <v>2018</v>
      </c>
      <c r="O424" s="30" t="s">
        <v>2015</v>
      </c>
      <c r="P424" s="32">
        <v>743</v>
      </c>
      <c r="Q424" s="32">
        <v>416</v>
      </c>
      <c r="R424" s="32">
        <v>72</v>
      </c>
      <c r="S424" s="32">
        <v>37</v>
      </c>
      <c r="T424" s="32">
        <v>16</v>
      </c>
      <c r="U424" s="32">
        <v>52</v>
      </c>
      <c r="V424" s="32">
        <v>34</v>
      </c>
      <c r="W424" s="32">
        <v>13</v>
      </c>
      <c r="X424" s="32">
        <v>124</v>
      </c>
      <c r="Y424" s="32">
        <v>71</v>
      </c>
      <c r="Z424" s="32">
        <v>29</v>
      </c>
      <c r="AA424" s="32">
        <v>216</v>
      </c>
      <c r="AB424" s="32">
        <v>111</v>
      </c>
      <c r="AC424" s="32">
        <v>48</v>
      </c>
      <c r="AD424" s="32">
        <v>73</v>
      </c>
      <c r="AE424" s="32">
        <v>48</v>
      </c>
      <c r="AF424" s="32">
        <v>18</v>
      </c>
      <c r="AG424" s="32">
        <v>289</v>
      </c>
      <c r="AH424" s="32">
        <v>159</v>
      </c>
      <c r="AI424" s="32">
        <v>66</v>
      </c>
      <c r="AJ424" s="32">
        <v>289</v>
      </c>
      <c r="AK424" s="32">
        <v>765</v>
      </c>
      <c r="AL424" s="32">
        <v>37.799999999999997</v>
      </c>
    </row>
    <row r="425" spans="1:38" ht="13.5" hidden="1" customHeight="1">
      <c r="A425" s="30" t="s">
        <v>2272</v>
      </c>
      <c r="B425" s="30" t="s">
        <v>2273</v>
      </c>
      <c r="C425" s="30" t="s">
        <v>235</v>
      </c>
      <c r="D425" s="30" t="s">
        <v>2012</v>
      </c>
      <c r="E425" s="30" t="s">
        <v>2036</v>
      </c>
      <c r="F425" s="30" t="s">
        <v>2037</v>
      </c>
      <c r="G425" s="30"/>
      <c r="H425" s="30" t="s">
        <v>2560</v>
      </c>
      <c r="I425" s="30" t="s">
        <v>2015</v>
      </c>
      <c r="J425" s="30" t="s">
        <v>2015</v>
      </c>
      <c r="K425" s="30" t="s">
        <v>2018</v>
      </c>
      <c r="L425" s="30" t="s">
        <v>2017</v>
      </c>
      <c r="M425" s="30" t="s">
        <v>2018</v>
      </c>
      <c r="N425" s="30" t="s">
        <v>2018</v>
      </c>
      <c r="O425" s="30" t="s">
        <v>2015</v>
      </c>
      <c r="P425" s="32">
        <v>2145</v>
      </c>
      <c r="Q425" s="32">
        <v>981</v>
      </c>
      <c r="R425" s="32">
        <v>266</v>
      </c>
      <c r="S425" s="32">
        <v>157</v>
      </c>
      <c r="T425" s="32">
        <v>75</v>
      </c>
      <c r="U425" s="32">
        <v>163</v>
      </c>
      <c r="V425" s="32">
        <v>119</v>
      </c>
      <c r="W425" s="32">
        <v>78</v>
      </c>
      <c r="X425" s="32">
        <v>429</v>
      </c>
      <c r="Y425" s="32">
        <v>276</v>
      </c>
      <c r="Z425" s="32">
        <v>153</v>
      </c>
      <c r="AA425" s="32">
        <v>805</v>
      </c>
      <c r="AB425" s="32">
        <v>477</v>
      </c>
      <c r="AC425" s="32">
        <v>229</v>
      </c>
      <c r="AD425" s="32">
        <v>199</v>
      </c>
      <c r="AE425" s="32">
        <v>144</v>
      </c>
      <c r="AF425" s="32">
        <v>95</v>
      </c>
      <c r="AG425" s="32">
        <v>1004</v>
      </c>
      <c r="AH425" s="32">
        <v>621</v>
      </c>
      <c r="AI425" s="32">
        <v>324</v>
      </c>
      <c r="AJ425" s="32">
        <v>1004</v>
      </c>
      <c r="AK425" s="32">
        <v>2145</v>
      </c>
      <c r="AL425" s="32">
        <v>46.8</v>
      </c>
    </row>
    <row r="426" spans="1:38" ht="13.5" hidden="1" customHeight="1">
      <c r="A426" s="30" t="s">
        <v>2272</v>
      </c>
      <c r="B426" s="30" t="s">
        <v>2273</v>
      </c>
      <c r="C426" s="30" t="s">
        <v>235</v>
      </c>
      <c r="D426" s="30" t="s">
        <v>2012</v>
      </c>
      <c r="E426" s="30" t="s">
        <v>2036</v>
      </c>
      <c r="F426" s="30" t="s">
        <v>2037</v>
      </c>
      <c r="G426" s="30"/>
      <c r="H426" s="30" t="s">
        <v>2561</v>
      </c>
      <c r="I426" s="30" t="s">
        <v>2015</v>
      </c>
      <c r="J426" s="30" t="s">
        <v>2015</v>
      </c>
      <c r="K426" s="30" t="s">
        <v>2018</v>
      </c>
      <c r="L426" s="30" t="s">
        <v>2017</v>
      </c>
      <c r="M426" s="30" t="s">
        <v>2018</v>
      </c>
      <c r="N426" s="30" t="s">
        <v>2018</v>
      </c>
      <c r="O426" s="30" t="s">
        <v>2015</v>
      </c>
      <c r="P426" s="32">
        <v>2511</v>
      </c>
      <c r="Q426" s="32">
        <v>1040</v>
      </c>
      <c r="R426" s="32">
        <v>217</v>
      </c>
      <c r="S426" s="32">
        <v>115</v>
      </c>
      <c r="T426" s="32">
        <v>30</v>
      </c>
      <c r="U426" s="32">
        <v>159</v>
      </c>
      <c r="V426" s="32">
        <v>93</v>
      </c>
      <c r="W426" s="32">
        <v>54</v>
      </c>
      <c r="X426" s="32">
        <v>376</v>
      </c>
      <c r="Y426" s="32">
        <v>208</v>
      </c>
      <c r="Z426" s="32">
        <v>84</v>
      </c>
      <c r="AA426" s="32">
        <v>665</v>
      </c>
      <c r="AB426" s="32">
        <v>352</v>
      </c>
      <c r="AC426" s="32">
        <v>92</v>
      </c>
      <c r="AD426" s="32">
        <v>214</v>
      </c>
      <c r="AE426" s="32">
        <v>128</v>
      </c>
      <c r="AF426" s="32">
        <v>74</v>
      </c>
      <c r="AG426" s="32">
        <v>879</v>
      </c>
      <c r="AH426" s="32">
        <v>480</v>
      </c>
      <c r="AI426" s="32">
        <v>166</v>
      </c>
      <c r="AJ426" s="32">
        <v>879</v>
      </c>
      <c r="AK426" s="32">
        <v>2498</v>
      </c>
      <c r="AL426" s="32">
        <v>35.200000000000003</v>
      </c>
    </row>
    <row r="427" spans="1:38" ht="13.5" hidden="1" customHeight="1">
      <c r="A427" s="30" t="s">
        <v>2272</v>
      </c>
      <c r="B427" s="30" t="s">
        <v>2273</v>
      </c>
      <c r="C427" s="30" t="s">
        <v>235</v>
      </c>
      <c r="D427" s="30" t="s">
        <v>2012</v>
      </c>
      <c r="E427" s="30" t="s">
        <v>2036</v>
      </c>
      <c r="F427" s="30" t="s">
        <v>2037</v>
      </c>
      <c r="G427" s="30"/>
      <c r="H427" s="30" t="s">
        <v>2562</v>
      </c>
      <c r="I427" s="30" t="s">
        <v>2015</v>
      </c>
      <c r="J427" s="30" t="s">
        <v>2015</v>
      </c>
      <c r="K427" s="30" t="s">
        <v>2018</v>
      </c>
      <c r="L427" s="30" t="s">
        <v>2017</v>
      </c>
      <c r="M427" s="30" t="s">
        <v>2018</v>
      </c>
      <c r="N427" s="30" t="s">
        <v>2018</v>
      </c>
      <c r="O427" s="30" t="s">
        <v>2015</v>
      </c>
      <c r="P427" s="32">
        <v>3890</v>
      </c>
      <c r="Q427" s="32">
        <v>2054</v>
      </c>
      <c r="R427" s="32">
        <v>555</v>
      </c>
      <c r="S427" s="32">
        <v>370</v>
      </c>
      <c r="T427" s="32">
        <v>163</v>
      </c>
      <c r="U427" s="32">
        <v>349</v>
      </c>
      <c r="V427" s="32">
        <v>262</v>
      </c>
      <c r="W427" s="32">
        <v>145</v>
      </c>
      <c r="X427" s="32">
        <v>904</v>
      </c>
      <c r="Y427" s="32">
        <v>632</v>
      </c>
      <c r="Z427" s="32">
        <v>308</v>
      </c>
      <c r="AA427" s="32">
        <v>1627</v>
      </c>
      <c r="AB427" s="32">
        <v>1095</v>
      </c>
      <c r="AC427" s="32">
        <v>485</v>
      </c>
      <c r="AD427" s="32">
        <v>399</v>
      </c>
      <c r="AE427" s="32">
        <v>292</v>
      </c>
      <c r="AF427" s="32">
        <v>158</v>
      </c>
      <c r="AG427" s="32">
        <v>2026</v>
      </c>
      <c r="AH427" s="32">
        <v>1387</v>
      </c>
      <c r="AI427" s="32">
        <v>643</v>
      </c>
      <c r="AJ427" s="32">
        <v>2026</v>
      </c>
      <c r="AK427" s="32">
        <v>3818</v>
      </c>
      <c r="AL427" s="32">
        <v>53.1</v>
      </c>
    </row>
    <row r="428" spans="1:38" ht="13.5" hidden="1" customHeight="1">
      <c r="A428" s="30" t="s">
        <v>2272</v>
      </c>
      <c r="B428" s="30" t="s">
        <v>2273</v>
      </c>
      <c r="C428" s="30" t="s">
        <v>235</v>
      </c>
      <c r="D428" s="30" t="s">
        <v>2012</v>
      </c>
      <c r="E428" s="30" t="s">
        <v>2036</v>
      </c>
      <c r="F428" s="30" t="s">
        <v>2037</v>
      </c>
      <c r="G428" s="30"/>
      <c r="H428" s="30" t="s">
        <v>2563</v>
      </c>
      <c r="I428" s="30" t="s">
        <v>2015</v>
      </c>
      <c r="J428" s="30" t="s">
        <v>2015</v>
      </c>
      <c r="K428" s="30" t="s">
        <v>2018</v>
      </c>
      <c r="L428" s="30" t="s">
        <v>2017</v>
      </c>
      <c r="M428" s="30" t="s">
        <v>2018</v>
      </c>
      <c r="N428" s="30" t="s">
        <v>2018</v>
      </c>
      <c r="O428" s="30" t="s">
        <v>2015</v>
      </c>
      <c r="P428" s="32">
        <v>1065</v>
      </c>
      <c r="Q428" s="32">
        <v>474</v>
      </c>
      <c r="R428" s="32">
        <v>126</v>
      </c>
      <c r="S428" s="32">
        <v>64</v>
      </c>
      <c r="T428" s="32">
        <v>30</v>
      </c>
      <c r="U428" s="32">
        <v>50</v>
      </c>
      <c r="V428" s="32">
        <v>33</v>
      </c>
      <c r="W428" s="32">
        <v>25</v>
      </c>
      <c r="X428" s="32">
        <v>176</v>
      </c>
      <c r="Y428" s="32">
        <v>97</v>
      </c>
      <c r="Z428" s="32">
        <v>55</v>
      </c>
      <c r="AA428" s="32">
        <v>378</v>
      </c>
      <c r="AB428" s="32">
        <v>192</v>
      </c>
      <c r="AC428" s="32">
        <v>90</v>
      </c>
      <c r="AD428" s="32">
        <v>65</v>
      </c>
      <c r="AE428" s="32">
        <v>43</v>
      </c>
      <c r="AF428" s="32">
        <v>33</v>
      </c>
      <c r="AG428" s="32">
        <v>443</v>
      </c>
      <c r="AH428" s="32">
        <v>235</v>
      </c>
      <c r="AI428" s="32">
        <v>123</v>
      </c>
      <c r="AJ428" s="32">
        <v>443</v>
      </c>
      <c r="AK428" s="32">
        <v>1065</v>
      </c>
      <c r="AL428" s="32">
        <v>41.6</v>
      </c>
    </row>
    <row r="429" spans="1:38" ht="13.5" hidden="1" customHeight="1">
      <c r="A429" s="30" t="s">
        <v>2272</v>
      </c>
      <c r="B429" s="30" t="s">
        <v>2273</v>
      </c>
      <c r="C429" s="30" t="s">
        <v>235</v>
      </c>
      <c r="D429" s="30" t="s">
        <v>2012</v>
      </c>
      <c r="E429" s="30" t="s">
        <v>2036</v>
      </c>
      <c r="F429" s="30" t="s">
        <v>2037</v>
      </c>
      <c r="G429" s="30"/>
      <c r="H429" s="30" t="s">
        <v>2564</v>
      </c>
      <c r="I429" s="30" t="s">
        <v>2015</v>
      </c>
      <c r="J429" s="30" t="s">
        <v>2015</v>
      </c>
      <c r="K429" s="30" t="s">
        <v>2018</v>
      </c>
      <c r="L429" s="30" t="s">
        <v>2017</v>
      </c>
      <c r="M429" s="30" t="s">
        <v>2018</v>
      </c>
      <c r="N429" s="30" t="s">
        <v>2018</v>
      </c>
      <c r="O429" s="30" t="s">
        <v>2015</v>
      </c>
      <c r="P429" s="32">
        <v>57</v>
      </c>
      <c r="Q429" s="32">
        <v>37</v>
      </c>
      <c r="R429" s="32">
        <v>5</v>
      </c>
      <c r="S429" s="32">
        <v>2</v>
      </c>
      <c r="T429" s="32">
        <v>1</v>
      </c>
      <c r="U429" s="32">
        <v>6</v>
      </c>
      <c r="V429" s="32">
        <v>5</v>
      </c>
      <c r="W429" s="32">
        <v>4</v>
      </c>
      <c r="X429" s="32">
        <v>11</v>
      </c>
      <c r="Y429" s="32">
        <v>7</v>
      </c>
      <c r="Z429" s="32">
        <v>5</v>
      </c>
      <c r="AA429" s="32">
        <v>24</v>
      </c>
      <c r="AB429" s="32">
        <v>10</v>
      </c>
      <c r="AC429" s="32">
        <v>5</v>
      </c>
      <c r="AD429" s="32">
        <v>12</v>
      </c>
      <c r="AE429" s="32">
        <v>10</v>
      </c>
      <c r="AF429" s="32">
        <v>8</v>
      </c>
      <c r="AG429" s="32">
        <v>36</v>
      </c>
      <c r="AH429" s="32">
        <v>20</v>
      </c>
      <c r="AI429" s="32">
        <v>13</v>
      </c>
      <c r="AJ429" s="32">
        <v>36</v>
      </c>
      <c r="AK429" s="32">
        <v>71</v>
      </c>
      <c r="AL429" s="32">
        <v>50.7</v>
      </c>
    </row>
    <row r="430" spans="1:38" ht="13.5" hidden="1" customHeight="1">
      <c r="A430" s="30" t="s">
        <v>2272</v>
      </c>
      <c r="B430" s="30" t="s">
        <v>2273</v>
      </c>
      <c r="C430" s="30" t="s">
        <v>235</v>
      </c>
      <c r="D430" s="30" t="s">
        <v>2012</v>
      </c>
      <c r="E430" s="30" t="s">
        <v>2036</v>
      </c>
      <c r="F430" s="30" t="s">
        <v>2037</v>
      </c>
      <c r="G430" s="30"/>
      <c r="H430" s="30" t="s">
        <v>2565</v>
      </c>
      <c r="I430" s="30" t="s">
        <v>2015</v>
      </c>
      <c r="J430" s="30" t="s">
        <v>2015</v>
      </c>
      <c r="K430" s="30" t="s">
        <v>2018</v>
      </c>
      <c r="L430" s="30" t="s">
        <v>2017</v>
      </c>
      <c r="M430" s="30" t="s">
        <v>2018</v>
      </c>
      <c r="N430" s="30" t="s">
        <v>2018</v>
      </c>
      <c r="O430" s="30" t="s">
        <v>2015</v>
      </c>
      <c r="P430" s="32">
        <v>324</v>
      </c>
      <c r="Q430" s="32">
        <v>291</v>
      </c>
      <c r="R430" s="32">
        <v>27</v>
      </c>
      <c r="S430" s="32">
        <v>16</v>
      </c>
      <c r="T430" s="32">
        <v>7</v>
      </c>
      <c r="U430" s="32">
        <v>23</v>
      </c>
      <c r="V430" s="32">
        <v>19</v>
      </c>
      <c r="W430" s="32">
        <v>15</v>
      </c>
      <c r="X430" s="32">
        <v>50</v>
      </c>
      <c r="Y430" s="32">
        <v>35</v>
      </c>
      <c r="Z430" s="32">
        <v>22</v>
      </c>
      <c r="AA430" s="32">
        <v>84</v>
      </c>
      <c r="AB430" s="32">
        <v>50</v>
      </c>
      <c r="AC430" s="32">
        <v>22</v>
      </c>
      <c r="AD430" s="32">
        <v>32</v>
      </c>
      <c r="AE430" s="32">
        <v>27</v>
      </c>
      <c r="AF430" s="32">
        <v>21</v>
      </c>
      <c r="AG430" s="32">
        <v>116</v>
      </c>
      <c r="AH430" s="32">
        <v>77</v>
      </c>
      <c r="AI430" s="32">
        <v>43</v>
      </c>
      <c r="AJ430" s="32">
        <v>116</v>
      </c>
      <c r="AK430" s="32">
        <v>295</v>
      </c>
      <c r="AL430" s="32">
        <v>39.299999999999997</v>
      </c>
    </row>
    <row r="431" spans="1:38" ht="13.5" hidden="1" customHeight="1">
      <c r="A431" s="30" t="s">
        <v>2272</v>
      </c>
      <c r="B431" s="30" t="s">
        <v>2273</v>
      </c>
      <c r="C431" s="30" t="s">
        <v>235</v>
      </c>
      <c r="D431" s="30" t="s">
        <v>2012</v>
      </c>
      <c r="E431" s="30" t="s">
        <v>2036</v>
      </c>
      <c r="F431" s="30" t="s">
        <v>2037</v>
      </c>
      <c r="G431" s="30"/>
      <c r="H431" s="30" t="s">
        <v>2566</v>
      </c>
      <c r="I431" s="30" t="s">
        <v>2015</v>
      </c>
      <c r="J431" s="30" t="s">
        <v>2015</v>
      </c>
      <c r="K431" s="30" t="s">
        <v>2018</v>
      </c>
      <c r="L431" s="30" t="s">
        <v>2017</v>
      </c>
      <c r="M431" s="30" t="s">
        <v>2018</v>
      </c>
      <c r="N431" s="30" t="s">
        <v>2018</v>
      </c>
      <c r="O431" s="30" t="s">
        <v>2015</v>
      </c>
      <c r="P431" s="32">
        <v>1828</v>
      </c>
      <c r="Q431" s="32">
        <v>877</v>
      </c>
      <c r="R431" s="32">
        <v>220</v>
      </c>
      <c r="S431" s="32">
        <v>94</v>
      </c>
      <c r="T431" s="32">
        <v>58</v>
      </c>
      <c r="U431" s="32">
        <v>141</v>
      </c>
      <c r="V431" s="32">
        <v>115</v>
      </c>
      <c r="W431" s="32">
        <v>62</v>
      </c>
      <c r="X431" s="32">
        <v>361</v>
      </c>
      <c r="Y431" s="32">
        <v>209</v>
      </c>
      <c r="Z431" s="32">
        <v>120</v>
      </c>
      <c r="AA431" s="32">
        <v>618</v>
      </c>
      <c r="AB431" s="32">
        <v>267</v>
      </c>
      <c r="AC431" s="32">
        <v>165</v>
      </c>
      <c r="AD431" s="32">
        <v>144</v>
      </c>
      <c r="AE431" s="32">
        <v>118</v>
      </c>
      <c r="AF431" s="32">
        <v>64</v>
      </c>
      <c r="AG431" s="32">
        <v>762</v>
      </c>
      <c r="AH431" s="32">
        <v>385</v>
      </c>
      <c r="AI431" s="32">
        <v>229</v>
      </c>
      <c r="AJ431" s="32">
        <v>762</v>
      </c>
      <c r="AK431" s="32">
        <v>1828</v>
      </c>
      <c r="AL431" s="32">
        <v>41.7</v>
      </c>
    </row>
    <row r="432" spans="1:38" ht="13.5" hidden="1" customHeight="1">
      <c r="A432" s="30" t="s">
        <v>2272</v>
      </c>
      <c r="B432" s="30" t="s">
        <v>2273</v>
      </c>
      <c r="C432" s="30" t="s">
        <v>235</v>
      </c>
      <c r="D432" s="30" t="s">
        <v>2012</v>
      </c>
      <c r="E432" s="30" t="s">
        <v>2036</v>
      </c>
      <c r="F432" s="30" t="s">
        <v>2037</v>
      </c>
      <c r="G432" s="30"/>
      <c r="H432" s="30" t="s">
        <v>2567</v>
      </c>
      <c r="I432" s="30" t="s">
        <v>2015</v>
      </c>
      <c r="J432" s="30" t="s">
        <v>2015</v>
      </c>
      <c r="K432" s="30" t="s">
        <v>2038</v>
      </c>
      <c r="L432" s="30" t="s">
        <v>2017</v>
      </c>
      <c r="M432" s="30" t="s">
        <v>2018</v>
      </c>
      <c r="N432" s="30" t="s">
        <v>2038</v>
      </c>
      <c r="O432" s="30" t="s">
        <v>2039</v>
      </c>
      <c r="P432" s="32">
        <v>2052</v>
      </c>
      <c r="Q432" s="32">
        <v>920</v>
      </c>
      <c r="R432" s="32">
        <v>185</v>
      </c>
      <c r="S432" s="32">
        <v>75</v>
      </c>
      <c r="T432" s="32">
        <v>25</v>
      </c>
      <c r="U432" s="32">
        <v>141</v>
      </c>
      <c r="V432" s="32">
        <v>80</v>
      </c>
      <c r="W432" s="32">
        <v>35</v>
      </c>
      <c r="X432" s="32">
        <v>326</v>
      </c>
      <c r="Y432" s="32">
        <v>155</v>
      </c>
      <c r="Z432" s="32">
        <v>60</v>
      </c>
      <c r="AA432" s="32">
        <v>527</v>
      </c>
      <c r="AB432" s="32">
        <v>212</v>
      </c>
      <c r="AC432" s="32">
        <v>72</v>
      </c>
      <c r="AD432" s="32">
        <v>190</v>
      </c>
      <c r="AE432" s="32">
        <v>107</v>
      </c>
      <c r="AF432" s="32">
        <v>47</v>
      </c>
      <c r="AG432" s="32">
        <v>717</v>
      </c>
      <c r="AH432" s="32">
        <v>319</v>
      </c>
      <c r="AI432" s="32">
        <v>119</v>
      </c>
      <c r="AJ432" s="32">
        <v>717</v>
      </c>
      <c r="AK432" s="32">
        <v>2006</v>
      </c>
      <c r="AL432" s="32">
        <v>35.700000000000003</v>
      </c>
    </row>
    <row r="433" spans="1:38" ht="13.5" hidden="1" customHeight="1">
      <c r="A433" s="30" t="s">
        <v>2272</v>
      </c>
      <c r="B433" s="30" t="s">
        <v>2273</v>
      </c>
      <c r="C433" s="30" t="s">
        <v>235</v>
      </c>
      <c r="D433" s="30" t="s">
        <v>2012</v>
      </c>
      <c r="E433" s="30" t="s">
        <v>2036</v>
      </c>
      <c r="F433" s="30" t="s">
        <v>2037</v>
      </c>
      <c r="G433" s="30"/>
      <c r="H433" s="30" t="s">
        <v>2568</v>
      </c>
      <c r="I433" s="30" t="s">
        <v>2015</v>
      </c>
      <c r="J433" s="30" t="s">
        <v>2015</v>
      </c>
      <c r="K433" s="30" t="s">
        <v>2018</v>
      </c>
      <c r="L433" s="30" t="s">
        <v>2017</v>
      </c>
      <c r="M433" s="30" t="s">
        <v>2018</v>
      </c>
      <c r="N433" s="30" t="s">
        <v>2018</v>
      </c>
      <c r="O433" s="30" t="s">
        <v>2015</v>
      </c>
      <c r="P433" s="32">
        <v>98</v>
      </c>
      <c r="Q433" s="32">
        <v>54</v>
      </c>
      <c r="R433" s="32">
        <v>4</v>
      </c>
      <c r="S433" s="32">
        <v>2</v>
      </c>
      <c r="T433" s="32">
        <v>1</v>
      </c>
      <c r="U433" s="32">
        <v>5</v>
      </c>
      <c r="V433" s="32">
        <v>2</v>
      </c>
      <c r="W433" s="32">
        <v>0</v>
      </c>
      <c r="X433" s="32">
        <v>9</v>
      </c>
      <c r="Y433" s="32">
        <v>4</v>
      </c>
      <c r="Z433" s="32">
        <v>1</v>
      </c>
      <c r="AA433" s="32">
        <v>11</v>
      </c>
      <c r="AB433" s="32">
        <v>5</v>
      </c>
      <c r="AC433" s="32">
        <v>3</v>
      </c>
      <c r="AD433" s="32">
        <v>6</v>
      </c>
      <c r="AE433" s="32">
        <v>2</v>
      </c>
      <c r="AF433" s="32">
        <v>0</v>
      </c>
      <c r="AG433" s="32">
        <v>17</v>
      </c>
      <c r="AH433" s="32">
        <v>7</v>
      </c>
      <c r="AI433" s="32">
        <v>3</v>
      </c>
      <c r="AJ433" s="32">
        <v>17</v>
      </c>
      <c r="AK433" s="32">
        <v>102</v>
      </c>
      <c r="AL433" s="32">
        <v>16.7</v>
      </c>
    </row>
    <row r="434" spans="1:38" ht="13.5" hidden="1" customHeight="1">
      <c r="A434" s="30" t="s">
        <v>2272</v>
      </c>
      <c r="B434" s="30" t="s">
        <v>2273</v>
      </c>
      <c r="C434" s="30" t="s">
        <v>235</v>
      </c>
      <c r="D434" s="30" t="s">
        <v>2012</v>
      </c>
      <c r="E434" s="30" t="s">
        <v>2036</v>
      </c>
      <c r="F434" s="30" t="s">
        <v>2037</v>
      </c>
      <c r="G434" s="30"/>
      <c r="H434" s="30" t="s">
        <v>2569</v>
      </c>
      <c r="I434" s="30" t="s">
        <v>2015</v>
      </c>
      <c r="J434" s="30" t="s">
        <v>2015</v>
      </c>
      <c r="K434" s="30" t="s">
        <v>2018</v>
      </c>
      <c r="L434" s="30" t="s">
        <v>2017</v>
      </c>
      <c r="M434" s="30" t="s">
        <v>2018</v>
      </c>
      <c r="N434" s="30" t="s">
        <v>2018</v>
      </c>
      <c r="O434" s="30" t="s">
        <v>2015</v>
      </c>
      <c r="P434" s="32">
        <v>1616</v>
      </c>
      <c r="Q434" s="32">
        <v>888</v>
      </c>
      <c r="R434" s="32">
        <v>157</v>
      </c>
      <c r="S434" s="32">
        <v>84</v>
      </c>
      <c r="T434" s="32">
        <v>45</v>
      </c>
      <c r="U434" s="32">
        <v>102</v>
      </c>
      <c r="V434" s="32">
        <v>70</v>
      </c>
      <c r="W434" s="32">
        <v>54</v>
      </c>
      <c r="X434" s="32">
        <v>259</v>
      </c>
      <c r="Y434" s="32">
        <v>154</v>
      </c>
      <c r="Z434" s="32">
        <v>99</v>
      </c>
      <c r="AA434" s="32">
        <v>486</v>
      </c>
      <c r="AB434" s="32">
        <v>260</v>
      </c>
      <c r="AC434" s="32">
        <v>140</v>
      </c>
      <c r="AD434" s="32">
        <v>132</v>
      </c>
      <c r="AE434" s="32">
        <v>92</v>
      </c>
      <c r="AF434" s="32">
        <v>70</v>
      </c>
      <c r="AG434" s="32">
        <v>618</v>
      </c>
      <c r="AH434" s="32">
        <v>352</v>
      </c>
      <c r="AI434" s="32">
        <v>210</v>
      </c>
      <c r="AJ434" s="32">
        <v>618</v>
      </c>
      <c r="AK434" s="32">
        <v>1616</v>
      </c>
      <c r="AL434" s="32">
        <v>38.200000000000003</v>
      </c>
    </row>
    <row r="435" spans="1:38" ht="13.5" hidden="1" customHeight="1">
      <c r="A435" s="30" t="s">
        <v>2272</v>
      </c>
      <c r="B435" s="30" t="s">
        <v>2273</v>
      </c>
      <c r="C435" s="30" t="s">
        <v>235</v>
      </c>
      <c r="D435" s="30" t="s">
        <v>2012</v>
      </c>
      <c r="E435" s="30" t="s">
        <v>2036</v>
      </c>
      <c r="F435" s="30" t="s">
        <v>2037</v>
      </c>
      <c r="G435" s="30"/>
      <c r="H435" s="30" t="s">
        <v>2570</v>
      </c>
      <c r="I435" s="30" t="s">
        <v>2015</v>
      </c>
      <c r="J435" s="30" t="s">
        <v>2015</v>
      </c>
      <c r="K435" s="30" t="s">
        <v>2018</v>
      </c>
      <c r="L435" s="30" t="s">
        <v>2017</v>
      </c>
      <c r="M435" s="30" t="s">
        <v>2018</v>
      </c>
      <c r="N435" s="30" t="s">
        <v>2018</v>
      </c>
      <c r="O435" s="30" t="s">
        <v>2015</v>
      </c>
      <c r="P435" s="32">
        <v>1012</v>
      </c>
      <c r="Q435" s="32">
        <v>427</v>
      </c>
      <c r="R435" s="32">
        <v>124</v>
      </c>
      <c r="S435" s="32">
        <v>61</v>
      </c>
      <c r="T435" s="32">
        <v>26</v>
      </c>
      <c r="U435" s="32">
        <v>66</v>
      </c>
      <c r="V435" s="32">
        <v>49</v>
      </c>
      <c r="W435" s="32">
        <v>28</v>
      </c>
      <c r="X435" s="32">
        <v>190</v>
      </c>
      <c r="Y435" s="32">
        <v>110</v>
      </c>
      <c r="Z435" s="32">
        <v>54</v>
      </c>
      <c r="AA435" s="32">
        <v>384</v>
      </c>
      <c r="AB435" s="32">
        <v>189</v>
      </c>
      <c r="AC435" s="32">
        <v>81</v>
      </c>
      <c r="AD435" s="32">
        <v>86</v>
      </c>
      <c r="AE435" s="32">
        <v>64</v>
      </c>
      <c r="AF435" s="32">
        <v>36</v>
      </c>
      <c r="AG435" s="32">
        <v>470</v>
      </c>
      <c r="AH435" s="32">
        <v>253</v>
      </c>
      <c r="AI435" s="32">
        <v>117</v>
      </c>
      <c r="AJ435" s="32">
        <v>470</v>
      </c>
      <c r="AK435" s="32">
        <v>1012</v>
      </c>
      <c r="AL435" s="32">
        <v>46.4</v>
      </c>
    </row>
    <row r="436" spans="1:38" ht="13.5" hidden="1" customHeight="1">
      <c r="A436" s="30" t="s">
        <v>2272</v>
      </c>
      <c r="B436" s="30" t="s">
        <v>2273</v>
      </c>
      <c r="C436" s="30" t="s">
        <v>235</v>
      </c>
      <c r="D436" s="30" t="s">
        <v>2012</v>
      </c>
      <c r="E436" s="30" t="s">
        <v>2036</v>
      </c>
      <c r="F436" s="30" t="s">
        <v>2037</v>
      </c>
      <c r="G436" s="30"/>
      <c r="H436" s="30" t="s">
        <v>2571</v>
      </c>
      <c r="I436" s="30" t="s">
        <v>2015</v>
      </c>
      <c r="J436" s="30" t="s">
        <v>2015</v>
      </c>
      <c r="K436" s="30" t="s">
        <v>2018</v>
      </c>
      <c r="L436" s="30" t="s">
        <v>2017</v>
      </c>
      <c r="M436" s="30" t="s">
        <v>2018</v>
      </c>
      <c r="N436" s="30" t="s">
        <v>2018</v>
      </c>
      <c r="O436" s="30" t="s">
        <v>2015</v>
      </c>
      <c r="P436" s="32">
        <v>997</v>
      </c>
      <c r="Q436" s="32">
        <v>452</v>
      </c>
      <c r="R436" s="32">
        <v>113</v>
      </c>
      <c r="S436" s="32">
        <v>57</v>
      </c>
      <c r="T436" s="32">
        <v>28</v>
      </c>
      <c r="U436" s="32">
        <v>52</v>
      </c>
      <c r="V436" s="32">
        <v>38</v>
      </c>
      <c r="W436" s="32">
        <v>26</v>
      </c>
      <c r="X436" s="32">
        <v>165</v>
      </c>
      <c r="Y436" s="32">
        <v>95</v>
      </c>
      <c r="Z436" s="32">
        <v>54</v>
      </c>
      <c r="AA436" s="32">
        <v>339</v>
      </c>
      <c r="AB436" s="32">
        <v>171</v>
      </c>
      <c r="AC436" s="32">
        <v>84</v>
      </c>
      <c r="AD436" s="32">
        <v>68</v>
      </c>
      <c r="AE436" s="32">
        <v>49</v>
      </c>
      <c r="AF436" s="32">
        <v>34</v>
      </c>
      <c r="AG436" s="32">
        <v>407</v>
      </c>
      <c r="AH436" s="32">
        <v>220</v>
      </c>
      <c r="AI436" s="32">
        <v>118</v>
      </c>
      <c r="AJ436" s="32">
        <v>407</v>
      </c>
      <c r="AK436" s="32">
        <v>997</v>
      </c>
      <c r="AL436" s="32">
        <v>40.799999999999997</v>
      </c>
    </row>
    <row r="437" spans="1:38" ht="13.5" hidden="1" customHeight="1">
      <c r="A437" s="30" t="s">
        <v>2272</v>
      </c>
      <c r="B437" s="30" t="s">
        <v>2273</v>
      </c>
      <c r="C437" s="30" t="s">
        <v>235</v>
      </c>
      <c r="D437" s="30" t="s">
        <v>2012</v>
      </c>
      <c r="E437" s="30" t="s">
        <v>2036</v>
      </c>
      <c r="F437" s="30" t="s">
        <v>2037</v>
      </c>
      <c r="G437" s="30"/>
      <c r="H437" s="30" t="s">
        <v>2572</v>
      </c>
      <c r="I437" s="30" t="s">
        <v>2015</v>
      </c>
      <c r="J437" s="30" t="s">
        <v>2015</v>
      </c>
      <c r="K437" s="30" t="s">
        <v>2018</v>
      </c>
      <c r="L437" s="30" t="s">
        <v>2017</v>
      </c>
      <c r="M437" s="30" t="s">
        <v>2018</v>
      </c>
      <c r="N437" s="30" t="s">
        <v>2018</v>
      </c>
      <c r="O437" s="30" t="s">
        <v>2015</v>
      </c>
      <c r="P437" s="32">
        <v>990</v>
      </c>
      <c r="Q437" s="32">
        <v>497</v>
      </c>
      <c r="R437" s="32">
        <v>142</v>
      </c>
      <c r="S437" s="32">
        <v>81</v>
      </c>
      <c r="T437" s="32">
        <v>35</v>
      </c>
      <c r="U437" s="32">
        <v>74</v>
      </c>
      <c r="V437" s="32">
        <v>37</v>
      </c>
      <c r="W437" s="32">
        <v>20</v>
      </c>
      <c r="X437" s="32">
        <v>216</v>
      </c>
      <c r="Y437" s="32">
        <v>118</v>
      </c>
      <c r="Z437" s="32">
        <v>55</v>
      </c>
      <c r="AA437" s="32">
        <v>454</v>
      </c>
      <c r="AB437" s="32">
        <v>259</v>
      </c>
      <c r="AC437" s="32">
        <v>112</v>
      </c>
      <c r="AD437" s="32">
        <v>89</v>
      </c>
      <c r="AE437" s="32">
        <v>44</v>
      </c>
      <c r="AF437" s="32">
        <v>24</v>
      </c>
      <c r="AG437" s="32">
        <v>543</v>
      </c>
      <c r="AH437" s="32">
        <v>303</v>
      </c>
      <c r="AI437" s="32">
        <v>136</v>
      </c>
      <c r="AJ437" s="32">
        <v>543</v>
      </c>
      <c r="AK437" s="32">
        <v>990</v>
      </c>
      <c r="AL437" s="32">
        <v>54.8</v>
      </c>
    </row>
    <row r="438" spans="1:38" ht="13.5" hidden="1" customHeight="1">
      <c r="A438" s="30" t="s">
        <v>2272</v>
      </c>
      <c r="B438" s="30" t="s">
        <v>2273</v>
      </c>
      <c r="C438" s="30" t="s">
        <v>235</v>
      </c>
      <c r="D438" s="30" t="s">
        <v>2012</v>
      </c>
      <c r="E438" s="30" t="s">
        <v>2036</v>
      </c>
      <c r="F438" s="30" t="s">
        <v>2037</v>
      </c>
      <c r="G438" s="30"/>
      <c r="H438" s="30" t="s">
        <v>2573</v>
      </c>
      <c r="I438" s="30" t="s">
        <v>2015</v>
      </c>
      <c r="J438" s="30" t="s">
        <v>2015</v>
      </c>
      <c r="K438" s="30" t="s">
        <v>2038</v>
      </c>
      <c r="L438" s="30" t="s">
        <v>2017</v>
      </c>
      <c r="M438" s="30" t="s">
        <v>2018</v>
      </c>
      <c r="N438" s="30" t="s">
        <v>2038</v>
      </c>
      <c r="O438" s="30" t="s">
        <v>2039</v>
      </c>
      <c r="P438" s="32">
        <v>3964</v>
      </c>
      <c r="Q438" s="32">
        <v>1683</v>
      </c>
      <c r="R438" s="32">
        <v>412</v>
      </c>
      <c r="S438" s="32">
        <v>226</v>
      </c>
      <c r="T438" s="32">
        <v>115</v>
      </c>
      <c r="U438" s="32">
        <v>194</v>
      </c>
      <c r="V438" s="32">
        <v>103</v>
      </c>
      <c r="W438" s="32">
        <v>78</v>
      </c>
      <c r="X438" s="32">
        <v>606</v>
      </c>
      <c r="Y438" s="32">
        <v>329</v>
      </c>
      <c r="Z438" s="32">
        <v>193</v>
      </c>
      <c r="AA438" s="32">
        <v>1260</v>
      </c>
      <c r="AB438" s="32">
        <v>691</v>
      </c>
      <c r="AC438" s="32">
        <v>352</v>
      </c>
      <c r="AD438" s="32">
        <v>279</v>
      </c>
      <c r="AE438" s="32">
        <v>146</v>
      </c>
      <c r="AF438" s="32">
        <v>111</v>
      </c>
      <c r="AG438" s="32">
        <v>1539</v>
      </c>
      <c r="AH438" s="32">
        <v>837</v>
      </c>
      <c r="AI438" s="32">
        <v>463</v>
      </c>
      <c r="AJ438" s="32">
        <v>1539</v>
      </c>
      <c r="AK438" s="32">
        <v>3959</v>
      </c>
      <c r="AL438" s="32">
        <v>38.9</v>
      </c>
    </row>
    <row r="439" spans="1:38" ht="13.5" hidden="1" customHeight="1">
      <c r="A439" s="30" t="s">
        <v>2272</v>
      </c>
      <c r="B439" s="30" t="s">
        <v>2273</v>
      </c>
      <c r="C439" s="30" t="s">
        <v>235</v>
      </c>
      <c r="D439" s="30" t="s">
        <v>2012</v>
      </c>
      <c r="E439" s="30" t="s">
        <v>2036</v>
      </c>
      <c r="F439" s="30" t="s">
        <v>2037</v>
      </c>
      <c r="G439" s="30"/>
      <c r="H439" s="30" t="s">
        <v>2574</v>
      </c>
      <c r="I439" s="30" t="s">
        <v>2015</v>
      </c>
      <c r="J439" s="30" t="s">
        <v>2015</v>
      </c>
      <c r="K439" s="30" t="s">
        <v>2018</v>
      </c>
      <c r="L439" s="30" t="s">
        <v>2017</v>
      </c>
      <c r="M439" s="30" t="s">
        <v>2018</v>
      </c>
      <c r="N439" s="30" t="s">
        <v>2018</v>
      </c>
      <c r="O439" s="30" t="s">
        <v>2015</v>
      </c>
      <c r="P439" s="32">
        <v>1421</v>
      </c>
      <c r="Q439" s="32">
        <v>600</v>
      </c>
      <c r="R439" s="32">
        <v>182</v>
      </c>
      <c r="S439" s="32">
        <v>87</v>
      </c>
      <c r="T439" s="32">
        <v>38</v>
      </c>
      <c r="U439" s="32">
        <v>78</v>
      </c>
      <c r="V439" s="32">
        <v>51</v>
      </c>
      <c r="W439" s="32">
        <v>34</v>
      </c>
      <c r="X439" s="32">
        <v>260</v>
      </c>
      <c r="Y439" s="32">
        <v>138</v>
      </c>
      <c r="Z439" s="32">
        <v>72</v>
      </c>
      <c r="AA439" s="32">
        <v>582</v>
      </c>
      <c r="AB439" s="32">
        <v>278</v>
      </c>
      <c r="AC439" s="32">
        <v>122</v>
      </c>
      <c r="AD439" s="32">
        <v>109</v>
      </c>
      <c r="AE439" s="32">
        <v>71</v>
      </c>
      <c r="AF439" s="32">
        <v>48</v>
      </c>
      <c r="AG439" s="32">
        <v>691</v>
      </c>
      <c r="AH439" s="32">
        <v>349</v>
      </c>
      <c r="AI439" s="32">
        <v>170</v>
      </c>
      <c r="AJ439" s="32">
        <v>691</v>
      </c>
      <c r="AK439" s="32">
        <v>1429</v>
      </c>
      <c r="AL439" s="32">
        <v>48.4</v>
      </c>
    </row>
    <row r="440" spans="1:38" ht="13.5" hidden="1" customHeight="1">
      <c r="A440" s="30" t="s">
        <v>2272</v>
      </c>
      <c r="B440" s="30" t="s">
        <v>2273</v>
      </c>
      <c r="C440" s="30" t="s">
        <v>235</v>
      </c>
      <c r="D440" s="30" t="s">
        <v>2012</v>
      </c>
      <c r="E440" s="30" t="s">
        <v>2036</v>
      </c>
      <c r="F440" s="30" t="s">
        <v>2037</v>
      </c>
      <c r="G440" s="30"/>
      <c r="H440" s="30" t="s">
        <v>2575</v>
      </c>
      <c r="I440" s="30" t="s">
        <v>2015</v>
      </c>
      <c r="J440" s="30" t="s">
        <v>2015</v>
      </c>
      <c r="K440" s="30" t="s">
        <v>2038</v>
      </c>
      <c r="L440" s="30" t="s">
        <v>2017</v>
      </c>
      <c r="M440" s="30" t="s">
        <v>2018</v>
      </c>
      <c r="N440" s="30" t="s">
        <v>2038</v>
      </c>
      <c r="O440" s="30" t="s">
        <v>2039</v>
      </c>
      <c r="P440" s="32">
        <v>6327</v>
      </c>
      <c r="Q440" s="32">
        <v>2545</v>
      </c>
      <c r="R440" s="32">
        <v>325</v>
      </c>
      <c r="S440" s="32">
        <v>182</v>
      </c>
      <c r="T440" s="32">
        <v>69</v>
      </c>
      <c r="U440" s="32">
        <v>273</v>
      </c>
      <c r="V440" s="32">
        <v>144</v>
      </c>
      <c r="W440" s="32">
        <v>83</v>
      </c>
      <c r="X440" s="32">
        <v>598</v>
      </c>
      <c r="Y440" s="32">
        <v>326</v>
      </c>
      <c r="Z440" s="32">
        <v>152</v>
      </c>
      <c r="AA440" s="32">
        <v>993</v>
      </c>
      <c r="AB440" s="32">
        <v>559</v>
      </c>
      <c r="AC440" s="32">
        <v>214</v>
      </c>
      <c r="AD440" s="32">
        <v>368</v>
      </c>
      <c r="AE440" s="32">
        <v>194</v>
      </c>
      <c r="AF440" s="32">
        <v>111</v>
      </c>
      <c r="AG440" s="32">
        <v>1361</v>
      </c>
      <c r="AH440" s="32">
        <v>753</v>
      </c>
      <c r="AI440" s="32">
        <v>325</v>
      </c>
      <c r="AJ440" s="32">
        <v>1361</v>
      </c>
      <c r="AK440" s="32">
        <v>6316</v>
      </c>
      <c r="AL440" s="32">
        <v>21.5</v>
      </c>
    </row>
    <row r="441" spans="1:38" ht="13.5" hidden="1" customHeight="1">
      <c r="A441" s="30" t="s">
        <v>2272</v>
      </c>
      <c r="B441" s="30" t="s">
        <v>2273</v>
      </c>
      <c r="C441" s="30" t="s">
        <v>235</v>
      </c>
      <c r="D441" s="30" t="s">
        <v>2012</v>
      </c>
      <c r="E441" s="30" t="s">
        <v>2036</v>
      </c>
      <c r="F441" s="30" t="s">
        <v>2037</v>
      </c>
      <c r="G441" s="30"/>
      <c r="H441" s="30" t="s">
        <v>2576</v>
      </c>
      <c r="I441" s="30" t="s">
        <v>2015</v>
      </c>
      <c r="J441" s="30" t="s">
        <v>2015</v>
      </c>
      <c r="K441" s="30" t="s">
        <v>2038</v>
      </c>
      <c r="L441" s="30" t="s">
        <v>2017</v>
      </c>
      <c r="M441" s="30" t="s">
        <v>2018</v>
      </c>
      <c r="N441" s="30" t="s">
        <v>2038</v>
      </c>
      <c r="O441" s="30" t="s">
        <v>2039</v>
      </c>
      <c r="P441" s="32">
        <v>4437</v>
      </c>
      <c r="Q441" s="32">
        <v>1748</v>
      </c>
      <c r="R441" s="32">
        <v>333</v>
      </c>
      <c r="S441" s="32">
        <v>151</v>
      </c>
      <c r="T441" s="32">
        <v>58</v>
      </c>
      <c r="U441" s="32">
        <v>201</v>
      </c>
      <c r="V441" s="32">
        <v>123</v>
      </c>
      <c r="W441" s="32">
        <v>66</v>
      </c>
      <c r="X441" s="32">
        <v>534</v>
      </c>
      <c r="Y441" s="32">
        <v>274</v>
      </c>
      <c r="Z441" s="32">
        <v>124</v>
      </c>
      <c r="AA441" s="32">
        <v>1011</v>
      </c>
      <c r="AB441" s="32">
        <v>458</v>
      </c>
      <c r="AC441" s="32">
        <v>173</v>
      </c>
      <c r="AD441" s="32">
        <v>249</v>
      </c>
      <c r="AE441" s="32">
        <v>153</v>
      </c>
      <c r="AF441" s="32">
        <v>83</v>
      </c>
      <c r="AG441" s="32">
        <v>1260</v>
      </c>
      <c r="AH441" s="32">
        <v>611</v>
      </c>
      <c r="AI441" s="32">
        <v>256</v>
      </c>
      <c r="AJ441" s="32">
        <v>1260</v>
      </c>
      <c r="AK441" s="32">
        <v>4434</v>
      </c>
      <c r="AL441" s="32">
        <v>28.4</v>
      </c>
    </row>
    <row r="442" spans="1:38" ht="13.5" hidden="1" customHeight="1">
      <c r="A442" s="30" t="s">
        <v>2272</v>
      </c>
      <c r="B442" s="30" t="s">
        <v>2273</v>
      </c>
      <c r="C442" s="30" t="s">
        <v>235</v>
      </c>
      <c r="D442" s="30" t="s">
        <v>2012</v>
      </c>
      <c r="E442" s="30" t="s">
        <v>2036</v>
      </c>
      <c r="F442" s="30" t="s">
        <v>2037</v>
      </c>
      <c r="G442" s="30"/>
      <c r="H442" s="30" t="s">
        <v>2577</v>
      </c>
      <c r="I442" s="30" t="s">
        <v>2015</v>
      </c>
      <c r="J442" s="30" t="s">
        <v>2015</v>
      </c>
      <c r="K442" s="30" t="s">
        <v>2038</v>
      </c>
      <c r="L442" s="30" t="s">
        <v>2017</v>
      </c>
      <c r="M442" s="30" t="s">
        <v>2018</v>
      </c>
      <c r="N442" s="30" t="s">
        <v>2038</v>
      </c>
      <c r="O442" s="30" t="s">
        <v>2039</v>
      </c>
      <c r="P442" s="32">
        <v>2827</v>
      </c>
      <c r="Q442" s="32">
        <v>1320</v>
      </c>
      <c r="R442" s="32">
        <v>164</v>
      </c>
      <c r="S442" s="32">
        <v>86</v>
      </c>
      <c r="T442" s="32">
        <v>31</v>
      </c>
      <c r="U442" s="32">
        <v>206</v>
      </c>
      <c r="V442" s="32">
        <v>122</v>
      </c>
      <c r="W442" s="32">
        <v>67</v>
      </c>
      <c r="X442" s="32">
        <v>370</v>
      </c>
      <c r="Y442" s="32">
        <v>208</v>
      </c>
      <c r="Z442" s="32">
        <v>98</v>
      </c>
      <c r="AA442" s="32">
        <v>501</v>
      </c>
      <c r="AB442" s="32">
        <v>264</v>
      </c>
      <c r="AC442" s="32">
        <v>97</v>
      </c>
      <c r="AD442" s="32">
        <v>259</v>
      </c>
      <c r="AE442" s="32">
        <v>154</v>
      </c>
      <c r="AF442" s="32">
        <v>86</v>
      </c>
      <c r="AG442" s="32">
        <v>760</v>
      </c>
      <c r="AH442" s="32">
        <v>418</v>
      </c>
      <c r="AI442" s="32">
        <v>183</v>
      </c>
      <c r="AJ442" s="32">
        <v>760</v>
      </c>
      <c r="AK442" s="32">
        <v>2827</v>
      </c>
      <c r="AL442" s="32">
        <v>26.9</v>
      </c>
    </row>
    <row r="443" spans="1:38" ht="13.5" hidden="1" customHeight="1">
      <c r="A443" s="30" t="s">
        <v>2272</v>
      </c>
      <c r="B443" s="30" t="s">
        <v>2273</v>
      </c>
      <c r="C443" s="30" t="s">
        <v>235</v>
      </c>
      <c r="D443" s="30" t="s">
        <v>2012</v>
      </c>
      <c r="E443" s="30" t="s">
        <v>2036</v>
      </c>
      <c r="F443" s="30" t="s">
        <v>2037</v>
      </c>
      <c r="G443" s="30"/>
      <c r="H443" s="30" t="s">
        <v>2578</v>
      </c>
      <c r="I443" s="30" t="s">
        <v>2015</v>
      </c>
      <c r="J443" s="30" t="s">
        <v>2015</v>
      </c>
      <c r="K443" s="30" t="s">
        <v>2018</v>
      </c>
      <c r="L443" s="30" t="s">
        <v>2017</v>
      </c>
      <c r="M443" s="30" t="s">
        <v>2018</v>
      </c>
      <c r="N443" s="30" t="s">
        <v>2018</v>
      </c>
      <c r="O443" s="30" t="s">
        <v>2015</v>
      </c>
      <c r="P443" s="32">
        <v>1362</v>
      </c>
      <c r="Q443" s="32">
        <v>616</v>
      </c>
      <c r="R443" s="32">
        <v>131</v>
      </c>
      <c r="S443" s="32">
        <v>58</v>
      </c>
      <c r="T443" s="32">
        <v>23</v>
      </c>
      <c r="U443" s="32">
        <v>157</v>
      </c>
      <c r="V443" s="32">
        <v>118</v>
      </c>
      <c r="W443" s="32">
        <v>65</v>
      </c>
      <c r="X443" s="32">
        <v>288</v>
      </c>
      <c r="Y443" s="32">
        <v>176</v>
      </c>
      <c r="Z443" s="32">
        <v>88</v>
      </c>
      <c r="AA443" s="32">
        <v>384</v>
      </c>
      <c r="AB443" s="32">
        <v>170</v>
      </c>
      <c r="AC443" s="32">
        <v>67</v>
      </c>
      <c r="AD443" s="32">
        <v>189</v>
      </c>
      <c r="AE443" s="32">
        <v>142</v>
      </c>
      <c r="AF443" s="32">
        <v>79</v>
      </c>
      <c r="AG443" s="32">
        <v>573</v>
      </c>
      <c r="AH443" s="32">
        <v>312</v>
      </c>
      <c r="AI443" s="32">
        <v>146</v>
      </c>
      <c r="AJ443" s="32">
        <v>573</v>
      </c>
      <c r="AK443" s="32">
        <v>1338</v>
      </c>
      <c r="AL443" s="32">
        <v>42.8</v>
      </c>
    </row>
    <row r="444" spans="1:38" ht="13.5" hidden="1" customHeight="1">
      <c r="A444" s="30" t="s">
        <v>2272</v>
      </c>
      <c r="B444" s="30" t="s">
        <v>2273</v>
      </c>
      <c r="C444" s="30" t="s">
        <v>235</v>
      </c>
      <c r="D444" s="30" t="s">
        <v>2012</v>
      </c>
      <c r="E444" s="30" t="s">
        <v>2036</v>
      </c>
      <c r="F444" s="30" t="s">
        <v>2037</v>
      </c>
      <c r="G444" s="30"/>
      <c r="H444" s="30" t="s">
        <v>2579</v>
      </c>
      <c r="I444" s="30" t="s">
        <v>2015</v>
      </c>
      <c r="J444" s="30" t="s">
        <v>2015</v>
      </c>
      <c r="K444" s="30" t="s">
        <v>2018</v>
      </c>
      <c r="L444" s="30" t="s">
        <v>2017</v>
      </c>
      <c r="M444" s="30" t="s">
        <v>2018</v>
      </c>
      <c r="N444" s="30" t="s">
        <v>2018</v>
      </c>
      <c r="O444" s="30" t="s">
        <v>2015</v>
      </c>
      <c r="P444" s="32">
        <v>1393</v>
      </c>
      <c r="Q444" s="32">
        <v>677</v>
      </c>
      <c r="R444" s="32">
        <v>165</v>
      </c>
      <c r="S444" s="32">
        <v>87</v>
      </c>
      <c r="T444" s="32">
        <v>39</v>
      </c>
      <c r="U444" s="32">
        <v>53</v>
      </c>
      <c r="V444" s="32">
        <v>29</v>
      </c>
      <c r="W444" s="32">
        <v>12</v>
      </c>
      <c r="X444" s="32">
        <v>218</v>
      </c>
      <c r="Y444" s="32">
        <v>116</v>
      </c>
      <c r="Z444" s="32">
        <v>51</v>
      </c>
      <c r="AA444" s="32">
        <v>512</v>
      </c>
      <c r="AB444" s="32">
        <v>270</v>
      </c>
      <c r="AC444" s="32">
        <v>121</v>
      </c>
      <c r="AD444" s="32">
        <v>85</v>
      </c>
      <c r="AE444" s="32">
        <v>46</v>
      </c>
      <c r="AF444" s="32">
        <v>19</v>
      </c>
      <c r="AG444" s="32">
        <v>597</v>
      </c>
      <c r="AH444" s="32">
        <v>316</v>
      </c>
      <c r="AI444" s="32">
        <v>140</v>
      </c>
      <c r="AJ444" s="32">
        <v>597</v>
      </c>
      <c r="AK444" s="32">
        <v>1393</v>
      </c>
      <c r="AL444" s="32">
        <v>42.9</v>
      </c>
    </row>
    <row r="445" spans="1:38" ht="13.5" hidden="1" customHeight="1">
      <c r="A445" s="30" t="s">
        <v>2272</v>
      </c>
      <c r="B445" s="30" t="s">
        <v>2273</v>
      </c>
      <c r="C445" s="30" t="s">
        <v>235</v>
      </c>
      <c r="D445" s="30" t="s">
        <v>2012</v>
      </c>
      <c r="E445" s="30" t="s">
        <v>2036</v>
      </c>
      <c r="F445" s="30" t="s">
        <v>2037</v>
      </c>
      <c r="G445" s="30"/>
      <c r="H445" s="30" t="s">
        <v>2580</v>
      </c>
      <c r="I445" s="30" t="s">
        <v>2015</v>
      </c>
      <c r="J445" s="30" t="s">
        <v>2015</v>
      </c>
      <c r="K445" s="30" t="s">
        <v>2038</v>
      </c>
      <c r="L445" s="30" t="s">
        <v>2017</v>
      </c>
      <c r="M445" s="30" t="s">
        <v>2018</v>
      </c>
      <c r="N445" s="30" t="s">
        <v>2038</v>
      </c>
      <c r="O445" s="30" t="s">
        <v>2039</v>
      </c>
      <c r="P445" s="32">
        <v>1171</v>
      </c>
      <c r="Q445" s="32">
        <v>509</v>
      </c>
      <c r="R445" s="32">
        <v>138</v>
      </c>
      <c r="S445" s="32">
        <v>67</v>
      </c>
      <c r="T445" s="32">
        <v>32</v>
      </c>
      <c r="U445" s="32">
        <v>91</v>
      </c>
      <c r="V445" s="32">
        <v>64</v>
      </c>
      <c r="W445" s="32">
        <v>35</v>
      </c>
      <c r="X445" s="32">
        <v>229</v>
      </c>
      <c r="Y445" s="32">
        <v>131</v>
      </c>
      <c r="Z445" s="32">
        <v>67</v>
      </c>
      <c r="AA445" s="32">
        <v>414</v>
      </c>
      <c r="AB445" s="32">
        <v>201</v>
      </c>
      <c r="AC445" s="32">
        <v>96</v>
      </c>
      <c r="AD445" s="32">
        <v>118</v>
      </c>
      <c r="AE445" s="32">
        <v>83</v>
      </c>
      <c r="AF445" s="32">
        <v>46</v>
      </c>
      <c r="AG445" s="32">
        <v>532</v>
      </c>
      <c r="AH445" s="32">
        <v>284</v>
      </c>
      <c r="AI445" s="32">
        <v>142</v>
      </c>
      <c r="AJ445" s="32">
        <v>532</v>
      </c>
      <c r="AK445" s="32">
        <v>1171</v>
      </c>
      <c r="AL445" s="32">
        <v>45.4</v>
      </c>
    </row>
    <row r="446" spans="1:38" ht="13.5" hidden="1" customHeight="1">
      <c r="A446" s="30" t="s">
        <v>2272</v>
      </c>
      <c r="B446" s="30" t="s">
        <v>2273</v>
      </c>
      <c r="C446" s="30" t="s">
        <v>235</v>
      </c>
      <c r="D446" s="30" t="s">
        <v>2012</v>
      </c>
      <c r="E446" s="30" t="s">
        <v>2036</v>
      </c>
      <c r="F446" s="30" t="s">
        <v>2037</v>
      </c>
      <c r="G446" s="30"/>
      <c r="H446" s="30" t="s">
        <v>2581</v>
      </c>
      <c r="I446" s="30" t="s">
        <v>2015</v>
      </c>
      <c r="J446" s="30" t="s">
        <v>2015</v>
      </c>
      <c r="K446" s="30" t="s">
        <v>2018</v>
      </c>
      <c r="L446" s="30" t="s">
        <v>2017</v>
      </c>
      <c r="M446" s="30" t="s">
        <v>2018</v>
      </c>
      <c r="N446" s="30" t="s">
        <v>2018</v>
      </c>
      <c r="O446" s="30" t="s">
        <v>2015</v>
      </c>
      <c r="P446" s="32">
        <v>213</v>
      </c>
      <c r="Q446" s="32">
        <v>114</v>
      </c>
      <c r="R446" s="32">
        <v>34</v>
      </c>
      <c r="S446" s="32">
        <v>19</v>
      </c>
      <c r="T446" s="32">
        <v>5</v>
      </c>
      <c r="U446" s="32">
        <v>25</v>
      </c>
      <c r="V446" s="32">
        <v>22</v>
      </c>
      <c r="W446" s="32">
        <v>15</v>
      </c>
      <c r="X446" s="32">
        <v>59</v>
      </c>
      <c r="Y446" s="32">
        <v>41</v>
      </c>
      <c r="Z446" s="32">
        <v>20</v>
      </c>
      <c r="AA446" s="32">
        <v>92</v>
      </c>
      <c r="AB446" s="32">
        <v>51</v>
      </c>
      <c r="AC446" s="32">
        <v>14</v>
      </c>
      <c r="AD446" s="32">
        <v>28</v>
      </c>
      <c r="AE446" s="32">
        <v>24</v>
      </c>
      <c r="AF446" s="32">
        <v>17</v>
      </c>
      <c r="AG446" s="32">
        <v>120</v>
      </c>
      <c r="AH446" s="32">
        <v>75</v>
      </c>
      <c r="AI446" s="32">
        <v>31</v>
      </c>
      <c r="AJ446" s="32">
        <v>120</v>
      </c>
      <c r="AK446" s="32">
        <v>187</v>
      </c>
      <c r="AL446" s="32">
        <v>64.2</v>
      </c>
    </row>
    <row r="447" spans="1:38" ht="13.5" hidden="1" customHeight="1">
      <c r="A447" s="30" t="s">
        <v>2272</v>
      </c>
      <c r="B447" s="30" t="s">
        <v>2273</v>
      </c>
      <c r="C447" s="30" t="s">
        <v>235</v>
      </c>
      <c r="D447" s="30" t="s">
        <v>2012</v>
      </c>
      <c r="E447" s="30" t="s">
        <v>2036</v>
      </c>
      <c r="F447" s="30" t="s">
        <v>2037</v>
      </c>
      <c r="G447" s="30"/>
      <c r="H447" s="30" t="s">
        <v>2582</v>
      </c>
      <c r="I447" s="30" t="s">
        <v>2015</v>
      </c>
      <c r="J447" s="30" t="s">
        <v>2015</v>
      </c>
      <c r="K447" s="30" t="s">
        <v>2018</v>
      </c>
      <c r="L447" s="30" t="s">
        <v>2017</v>
      </c>
      <c r="M447" s="30" t="s">
        <v>2018</v>
      </c>
      <c r="N447" s="30" t="s">
        <v>2018</v>
      </c>
      <c r="O447" s="30" t="s">
        <v>2015</v>
      </c>
      <c r="P447" s="32">
        <v>747</v>
      </c>
      <c r="Q447" s="32">
        <v>349</v>
      </c>
      <c r="R447" s="32">
        <v>74</v>
      </c>
      <c r="S447" s="32">
        <v>39</v>
      </c>
      <c r="T447" s="32">
        <v>23</v>
      </c>
      <c r="U447" s="32">
        <v>69</v>
      </c>
      <c r="V447" s="32">
        <v>53</v>
      </c>
      <c r="W447" s="32">
        <v>44</v>
      </c>
      <c r="X447" s="32">
        <v>143</v>
      </c>
      <c r="Y447" s="32">
        <v>92</v>
      </c>
      <c r="Z447" s="32">
        <v>67</v>
      </c>
      <c r="AA447" s="32">
        <v>229</v>
      </c>
      <c r="AB447" s="32">
        <v>121</v>
      </c>
      <c r="AC447" s="32">
        <v>71</v>
      </c>
      <c r="AD447" s="32">
        <v>90</v>
      </c>
      <c r="AE447" s="32">
        <v>69</v>
      </c>
      <c r="AF447" s="32">
        <v>57</v>
      </c>
      <c r="AG447" s="32">
        <v>319</v>
      </c>
      <c r="AH447" s="32">
        <v>190</v>
      </c>
      <c r="AI447" s="32">
        <v>128</v>
      </c>
      <c r="AJ447" s="32">
        <v>319</v>
      </c>
      <c r="AK447" s="32">
        <v>743</v>
      </c>
      <c r="AL447" s="32">
        <v>42.9</v>
      </c>
    </row>
    <row r="448" spans="1:38" ht="13.5" hidden="1" customHeight="1">
      <c r="A448" s="30" t="s">
        <v>2272</v>
      </c>
      <c r="B448" s="30" t="s">
        <v>2273</v>
      </c>
      <c r="C448" s="30" t="s">
        <v>235</v>
      </c>
      <c r="D448" s="30" t="s">
        <v>2012</v>
      </c>
      <c r="E448" s="30" t="s">
        <v>2036</v>
      </c>
      <c r="F448" s="30" t="s">
        <v>2037</v>
      </c>
      <c r="G448" s="30"/>
      <c r="H448" s="30" t="s">
        <v>2583</v>
      </c>
      <c r="I448" s="30" t="s">
        <v>2015</v>
      </c>
      <c r="J448" s="30" t="s">
        <v>2015</v>
      </c>
      <c r="K448" s="30" t="s">
        <v>2018</v>
      </c>
      <c r="L448" s="30" t="s">
        <v>2017</v>
      </c>
      <c r="M448" s="30" t="s">
        <v>2018</v>
      </c>
      <c r="N448" s="30" t="s">
        <v>2018</v>
      </c>
      <c r="O448" s="30" t="s">
        <v>2015</v>
      </c>
      <c r="P448" s="32">
        <v>63</v>
      </c>
      <c r="Q448" s="32">
        <v>361</v>
      </c>
      <c r="R448" s="32">
        <v>10</v>
      </c>
      <c r="S448" s="32">
        <v>8</v>
      </c>
      <c r="T448" s="32">
        <v>2</v>
      </c>
      <c r="U448" s="32">
        <v>13</v>
      </c>
      <c r="V448" s="32">
        <v>10</v>
      </c>
      <c r="W448" s="32">
        <v>7</v>
      </c>
      <c r="X448" s="32">
        <v>23</v>
      </c>
      <c r="Y448" s="32">
        <v>18</v>
      </c>
      <c r="Z448" s="32">
        <v>9</v>
      </c>
      <c r="AA448" s="32">
        <v>22</v>
      </c>
      <c r="AB448" s="32">
        <v>18</v>
      </c>
      <c r="AC448" s="32">
        <v>4</v>
      </c>
      <c r="AD448" s="32">
        <v>18</v>
      </c>
      <c r="AE448" s="32">
        <v>14</v>
      </c>
      <c r="AF448" s="32">
        <v>10</v>
      </c>
      <c r="AG448" s="32">
        <v>40</v>
      </c>
      <c r="AH448" s="32">
        <v>32</v>
      </c>
      <c r="AI448" s="32">
        <v>14</v>
      </c>
      <c r="AJ448" s="32">
        <v>40</v>
      </c>
      <c r="AK448" s="32">
        <v>57</v>
      </c>
      <c r="AL448" s="32">
        <v>70.2</v>
      </c>
    </row>
    <row r="449" spans="1:38" ht="13.5" hidden="1" customHeight="1">
      <c r="A449" s="30" t="s">
        <v>2272</v>
      </c>
      <c r="B449" s="30" t="s">
        <v>2273</v>
      </c>
      <c r="C449" s="30" t="s">
        <v>235</v>
      </c>
      <c r="D449" s="30" t="s">
        <v>2012</v>
      </c>
      <c r="E449" s="30" t="s">
        <v>2036</v>
      </c>
      <c r="F449" s="30" t="s">
        <v>2037</v>
      </c>
      <c r="G449" s="30"/>
      <c r="H449" s="30" t="s">
        <v>2584</v>
      </c>
      <c r="I449" s="30" t="s">
        <v>2015</v>
      </c>
      <c r="J449" s="30" t="s">
        <v>2015</v>
      </c>
      <c r="K449" s="30" t="s">
        <v>2018</v>
      </c>
      <c r="L449" s="30" t="s">
        <v>2017</v>
      </c>
      <c r="M449" s="30" t="s">
        <v>2018</v>
      </c>
      <c r="N449" s="30" t="s">
        <v>2018</v>
      </c>
      <c r="O449" s="30" t="s">
        <v>2015</v>
      </c>
      <c r="P449" s="32">
        <v>845</v>
      </c>
      <c r="Q449" s="32">
        <v>463</v>
      </c>
      <c r="R449" s="32">
        <v>110</v>
      </c>
      <c r="S449" s="32">
        <v>45</v>
      </c>
      <c r="T449" s="32">
        <v>22</v>
      </c>
      <c r="U449" s="32">
        <v>35</v>
      </c>
      <c r="V449" s="32">
        <v>23</v>
      </c>
      <c r="W449" s="32">
        <v>19</v>
      </c>
      <c r="X449" s="32">
        <v>145</v>
      </c>
      <c r="Y449" s="32">
        <v>68</v>
      </c>
      <c r="Z449" s="32">
        <v>41</v>
      </c>
      <c r="AA449" s="32">
        <v>341</v>
      </c>
      <c r="AB449" s="32">
        <v>140</v>
      </c>
      <c r="AC449" s="32">
        <v>68</v>
      </c>
      <c r="AD449" s="32">
        <v>46</v>
      </c>
      <c r="AE449" s="32">
        <v>30</v>
      </c>
      <c r="AF449" s="32">
        <v>25</v>
      </c>
      <c r="AG449" s="32">
        <v>387</v>
      </c>
      <c r="AH449" s="32">
        <v>170</v>
      </c>
      <c r="AI449" s="32">
        <v>93</v>
      </c>
      <c r="AJ449" s="32">
        <v>387</v>
      </c>
      <c r="AK449" s="32">
        <v>839</v>
      </c>
      <c r="AL449" s="32">
        <v>46.1</v>
      </c>
    </row>
    <row r="450" spans="1:38" ht="13.5" hidden="1" customHeight="1">
      <c r="A450" s="30" t="s">
        <v>2272</v>
      </c>
      <c r="B450" s="30" t="s">
        <v>2273</v>
      </c>
      <c r="C450" s="30" t="s">
        <v>235</v>
      </c>
      <c r="D450" s="30" t="s">
        <v>2012</v>
      </c>
      <c r="E450" s="30" t="s">
        <v>2036</v>
      </c>
      <c r="F450" s="30" t="s">
        <v>2037</v>
      </c>
      <c r="G450" s="30"/>
      <c r="H450" s="30" t="s">
        <v>2585</v>
      </c>
      <c r="I450" s="30" t="s">
        <v>2015</v>
      </c>
      <c r="J450" s="30" t="s">
        <v>2015</v>
      </c>
      <c r="K450" s="30" t="s">
        <v>2018</v>
      </c>
      <c r="L450" s="30" t="s">
        <v>2017</v>
      </c>
      <c r="M450" s="30" t="s">
        <v>2018</v>
      </c>
      <c r="N450" s="30" t="s">
        <v>2018</v>
      </c>
      <c r="O450" s="30" t="s">
        <v>2015</v>
      </c>
      <c r="P450" s="32">
        <v>2171</v>
      </c>
      <c r="Q450" s="32">
        <v>829</v>
      </c>
      <c r="R450" s="32">
        <v>206</v>
      </c>
      <c r="S450" s="32">
        <v>108</v>
      </c>
      <c r="T450" s="32">
        <v>50</v>
      </c>
      <c r="U450" s="32">
        <v>94</v>
      </c>
      <c r="V450" s="32">
        <v>52</v>
      </c>
      <c r="W450" s="32">
        <v>34</v>
      </c>
      <c r="X450" s="32">
        <v>300</v>
      </c>
      <c r="Y450" s="32">
        <v>160</v>
      </c>
      <c r="Z450" s="32">
        <v>84</v>
      </c>
      <c r="AA450" s="32">
        <v>659</v>
      </c>
      <c r="AB450" s="32">
        <v>346</v>
      </c>
      <c r="AC450" s="32">
        <v>160</v>
      </c>
      <c r="AD450" s="32">
        <v>122</v>
      </c>
      <c r="AE450" s="32">
        <v>68</v>
      </c>
      <c r="AF450" s="32">
        <v>44</v>
      </c>
      <c r="AG450" s="32">
        <v>781</v>
      </c>
      <c r="AH450" s="32">
        <v>414</v>
      </c>
      <c r="AI450" s="32">
        <v>204</v>
      </c>
      <c r="AJ450" s="32">
        <v>781</v>
      </c>
      <c r="AK450" s="32">
        <v>2171</v>
      </c>
      <c r="AL450" s="32">
        <v>36</v>
      </c>
    </row>
    <row r="451" spans="1:38" ht="13.5" hidden="1" customHeight="1">
      <c r="A451" s="30" t="s">
        <v>2272</v>
      </c>
      <c r="B451" s="30" t="s">
        <v>2273</v>
      </c>
      <c r="C451" s="30" t="s">
        <v>235</v>
      </c>
      <c r="D451" s="30" t="s">
        <v>2012</v>
      </c>
      <c r="E451" s="30" t="s">
        <v>2036</v>
      </c>
      <c r="F451" s="30" t="s">
        <v>2037</v>
      </c>
      <c r="G451" s="30"/>
      <c r="H451" s="30" t="s">
        <v>2586</v>
      </c>
      <c r="I451" s="30" t="s">
        <v>2015</v>
      </c>
      <c r="J451" s="30" t="s">
        <v>2015</v>
      </c>
      <c r="K451" s="30" t="s">
        <v>2018</v>
      </c>
      <c r="L451" s="30" t="s">
        <v>2017</v>
      </c>
      <c r="M451" s="30" t="s">
        <v>2018</v>
      </c>
      <c r="N451" s="30" t="s">
        <v>2018</v>
      </c>
      <c r="O451" s="30" t="s">
        <v>2015</v>
      </c>
      <c r="P451" s="32">
        <v>5221</v>
      </c>
      <c r="Q451" s="32">
        <v>2661</v>
      </c>
      <c r="R451" s="32">
        <v>626</v>
      </c>
      <c r="S451" s="32">
        <v>350</v>
      </c>
      <c r="T451" s="32">
        <v>157</v>
      </c>
      <c r="U451" s="32">
        <v>454</v>
      </c>
      <c r="V451" s="32">
        <v>328</v>
      </c>
      <c r="W451" s="32">
        <v>156</v>
      </c>
      <c r="X451" s="32">
        <v>1080</v>
      </c>
      <c r="Y451" s="32">
        <v>678</v>
      </c>
      <c r="Z451" s="32">
        <v>313</v>
      </c>
      <c r="AA451" s="32">
        <v>1842</v>
      </c>
      <c r="AB451" s="32">
        <v>1026</v>
      </c>
      <c r="AC451" s="32">
        <v>452</v>
      </c>
      <c r="AD451" s="32">
        <v>522</v>
      </c>
      <c r="AE451" s="32">
        <v>376</v>
      </c>
      <c r="AF451" s="32">
        <v>184</v>
      </c>
      <c r="AG451" s="32">
        <v>2364</v>
      </c>
      <c r="AH451" s="32">
        <v>1402</v>
      </c>
      <c r="AI451" s="32">
        <v>636</v>
      </c>
      <c r="AJ451" s="32">
        <v>2364</v>
      </c>
      <c r="AK451" s="32">
        <v>5141</v>
      </c>
      <c r="AL451" s="32">
        <v>46</v>
      </c>
    </row>
    <row r="452" spans="1:38" ht="13.5" hidden="1" customHeight="1">
      <c r="A452" s="30" t="s">
        <v>2272</v>
      </c>
      <c r="B452" s="30" t="s">
        <v>2273</v>
      </c>
      <c r="C452" s="30" t="s">
        <v>235</v>
      </c>
      <c r="D452" s="30" t="s">
        <v>2012</v>
      </c>
      <c r="E452" s="30" t="s">
        <v>2036</v>
      </c>
      <c r="F452" s="30" t="s">
        <v>2037</v>
      </c>
      <c r="G452" s="30"/>
      <c r="H452" s="30" t="s">
        <v>2587</v>
      </c>
      <c r="I452" s="30" t="s">
        <v>2015</v>
      </c>
      <c r="J452" s="30" t="s">
        <v>2015</v>
      </c>
      <c r="K452" s="30" t="s">
        <v>2018</v>
      </c>
      <c r="L452" s="30" t="s">
        <v>2017</v>
      </c>
      <c r="M452" s="30" t="s">
        <v>2018</v>
      </c>
      <c r="N452" s="30" t="s">
        <v>2018</v>
      </c>
      <c r="O452" s="30" t="s">
        <v>2015</v>
      </c>
      <c r="P452" s="32">
        <v>291</v>
      </c>
      <c r="Q452" s="32">
        <v>234</v>
      </c>
      <c r="R452" s="32">
        <v>24</v>
      </c>
      <c r="S452" s="32">
        <v>12</v>
      </c>
      <c r="T452" s="32">
        <v>3</v>
      </c>
      <c r="U452" s="32">
        <v>22</v>
      </c>
      <c r="V452" s="32">
        <v>9</v>
      </c>
      <c r="W452" s="32">
        <v>5</v>
      </c>
      <c r="X452" s="32">
        <v>46</v>
      </c>
      <c r="Y452" s="32">
        <v>21</v>
      </c>
      <c r="Z452" s="32">
        <v>8</v>
      </c>
      <c r="AA452" s="32">
        <v>72</v>
      </c>
      <c r="AB452" s="32">
        <v>36</v>
      </c>
      <c r="AC452" s="32">
        <v>9</v>
      </c>
      <c r="AD452" s="32">
        <v>26</v>
      </c>
      <c r="AE452" s="32">
        <v>11</v>
      </c>
      <c r="AF452" s="32">
        <v>6</v>
      </c>
      <c r="AG452" s="32">
        <v>98</v>
      </c>
      <c r="AH452" s="32">
        <v>47</v>
      </c>
      <c r="AI452" s="32">
        <v>15</v>
      </c>
      <c r="AJ452" s="32">
        <v>98</v>
      </c>
      <c r="AK452" s="32">
        <v>285</v>
      </c>
      <c r="AL452" s="32">
        <v>34.4</v>
      </c>
    </row>
    <row r="453" spans="1:38" ht="13.5" hidden="1" customHeight="1">
      <c r="A453" s="30" t="s">
        <v>2272</v>
      </c>
      <c r="B453" s="30" t="s">
        <v>2273</v>
      </c>
      <c r="C453" s="30" t="s">
        <v>235</v>
      </c>
      <c r="D453" s="30" t="s">
        <v>2012</v>
      </c>
      <c r="E453" s="30" t="s">
        <v>2036</v>
      </c>
      <c r="F453" s="30" t="s">
        <v>2037</v>
      </c>
      <c r="G453" s="30"/>
      <c r="H453" s="30" t="s">
        <v>2588</v>
      </c>
      <c r="I453" s="30" t="s">
        <v>2015</v>
      </c>
      <c r="J453" s="30" t="s">
        <v>2015</v>
      </c>
      <c r="K453" s="30" t="s">
        <v>2018</v>
      </c>
      <c r="L453" s="30" t="s">
        <v>2017</v>
      </c>
      <c r="M453" s="30" t="s">
        <v>2018</v>
      </c>
      <c r="N453" s="30" t="s">
        <v>2018</v>
      </c>
      <c r="O453" s="30" t="s">
        <v>2015</v>
      </c>
      <c r="P453" s="32">
        <v>825</v>
      </c>
      <c r="Q453" s="32">
        <v>393</v>
      </c>
      <c r="R453" s="32">
        <v>105</v>
      </c>
      <c r="S453" s="32">
        <v>53</v>
      </c>
      <c r="T453" s="32">
        <v>21</v>
      </c>
      <c r="U453" s="32">
        <v>94</v>
      </c>
      <c r="V453" s="32">
        <v>71</v>
      </c>
      <c r="W453" s="32">
        <v>37</v>
      </c>
      <c r="X453" s="32">
        <v>199</v>
      </c>
      <c r="Y453" s="32">
        <v>124</v>
      </c>
      <c r="Z453" s="32">
        <v>58</v>
      </c>
      <c r="AA453" s="32">
        <v>315</v>
      </c>
      <c r="AB453" s="32">
        <v>159</v>
      </c>
      <c r="AC453" s="32">
        <v>63</v>
      </c>
      <c r="AD453" s="32">
        <v>113</v>
      </c>
      <c r="AE453" s="32">
        <v>85</v>
      </c>
      <c r="AF453" s="32">
        <v>44</v>
      </c>
      <c r="AG453" s="32">
        <v>428</v>
      </c>
      <c r="AH453" s="32">
        <v>244</v>
      </c>
      <c r="AI453" s="32">
        <v>107</v>
      </c>
      <c r="AJ453" s="32">
        <v>428</v>
      </c>
      <c r="AK453" s="32">
        <v>835</v>
      </c>
      <c r="AL453" s="32">
        <v>51.3</v>
      </c>
    </row>
    <row r="454" spans="1:38" ht="13.5" hidden="1" customHeight="1">
      <c r="A454" s="30" t="s">
        <v>2272</v>
      </c>
      <c r="B454" s="30" t="s">
        <v>2273</v>
      </c>
      <c r="C454" s="30" t="s">
        <v>235</v>
      </c>
      <c r="D454" s="30" t="s">
        <v>2012</v>
      </c>
      <c r="E454" s="30" t="s">
        <v>2036</v>
      </c>
      <c r="F454" s="30" t="s">
        <v>2037</v>
      </c>
      <c r="G454" s="30"/>
      <c r="H454" s="30" t="s">
        <v>2589</v>
      </c>
      <c r="I454" s="30" t="s">
        <v>2015</v>
      </c>
      <c r="J454" s="30" t="s">
        <v>2015</v>
      </c>
      <c r="K454" s="30" t="s">
        <v>2018</v>
      </c>
      <c r="L454" s="30" t="s">
        <v>2017</v>
      </c>
      <c r="M454" s="30" t="s">
        <v>2018</v>
      </c>
      <c r="N454" s="30" t="s">
        <v>2018</v>
      </c>
      <c r="O454" s="30" t="s">
        <v>2015</v>
      </c>
      <c r="P454" s="32">
        <v>87</v>
      </c>
      <c r="Q454" s="32">
        <v>52</v>
      </c>
      <c r="R454" s="32">
        <v>16</v>
      </c>
      <c r="S454" s="32">
        <v>15</v>
      </c>
      <c r="T454" s="32">
        <v>8</v>
      </c>
      <c r="U454" s="32">
        <v>5</v>
      </c>
      <c r="V454" s="32">
        <v>5</v>
      </c>
      <c r="W454" s="32">
        <v>3</v>
      </c>
      <c r="X454" s="32">
        <v>21</v>
      </c>
      <c r="Y454" s="32">
        <v>20</v>
      </c>
      <c r="Z454" s="32">
        <v>11</v>
      </c>
      <c r="AA454" s="32">
        <v>40</v>
      </c>
      <c r="AB454" s="32">
        <v>38</v>
      </c>
      <c r="AC454" s="32">
        <v>20</v>
      </c>
      <c r="AD454" s="32">
        <v>7</v>
      </c>
      <c r="AE454" s="32">
        <v>7</v>
      </c>
      <c r="AF454" s="32">
        <v>4</v>
      </c>
      <c r="AG454" s="32">
        <v>47</v>
      </c>
      <c r="AH454" s="32">
        <v>45</v>
      </c>
      <c r="AI454" s="32">
        <v>24</v>
      </c>
      <c r="AJ454" s="32">
        <v>47</v>
      </c>
      <c r="AK454" s="32">
        <v>74</v>
      </c>
      <c r="AL454" s="32">
        <v>63.5</v>
      </c>
    </row>
    <row r="455" spans="1:38" ht="13.5" hidden="1" customHeight="1">
      <c r="A455" s="30" t="s">
        <v>2272</v>
      </c>
      <c r="B455" s="30" t="s">
        <v>2273</v>
      </c>
      <c r="C455" s="30" t="s">
        <v>235</v>
      </c>
      <c r="D455" s="30" t="s">
        <v>2012</v>
      </c>
      <c r="E455" s="30" t="s">
        <v>2036</v>
      </c>
      <c r="F455" s="30" t="s">
        <v>2037</v>
      </c>
      <c r="G455" s="30"/>
      <c r="H455" s="30" t="s">
        <v>2590</v>
      </c>
      <c r="I455" s="30" t="s">
        <v>2015</v>
      </c>
      <c r="J455" s="30" t="s">
        <v>2015</v>
      </c>
      <c r="K455" s="30" t="s">
        <v>2018</v>
      </c>
      <c r="L455" s="30" t="s">
        <v>2017</v>
      </c>
      <c r="M455" s="30" t="s">
        <v>2018</v>
      </c>
      <c r="N455" s="30" t="s">
        <v>2018</v>
      </c>
      <c r="O455" s="30" t="s">
        <v>2015</v>
      </c>
      <c r="P455" s="32">
        <v>1489</v>
      </c>
      <c r="Q455" s="32">
        <v>651</v>
      </c>
      <c r="R455" s="32">
        <v>175</v>
      </c>
      <c r="S455" s="32">
        <v>93</v>
      </c>
      <c r="T455" s="32">
        <v>39</v>
      </c>
      <c r="U455" s="32">
        <v>95</v>
      </c>
      <c r="V455" s="32">
        <v>67</v>
      </c>
      <c r="W455" s="32">
        <v>37</v>
      </c>
      <c r="X455" s="32">
        <v>270</v>
      </c>
      <c r="Y455" s="32">
        <v>160</v>
      </c>
      <c r="Z455" s="32">
        <v>76</v>
      </c>
      <c r="AA455" s="32">
        <v>507</v>
      </c>
      <c r="AB455" s="32">
        <v>269</v>
      </c>
      <c r="AC455" s="32">
        <v>113</v>
      </c>
      <c r="AD455" s="32">
        <v>114</v>
      </c>
      <c r="AE455" s="32">
        <v>80</v>
      </c>
      <c r="AF455" s="32">
        <v>45</v>
      </c>
      <c r="AG455" s="32">
        <v>621</v>
      </c>
      <c r="AH455" s="32">
        <v>349</v>
      </c>
      <c r="AI455" s="32">
        <v>158</v>
      </c>
      <c r="AJ455" s="32">
        <v>621</v>
      </c>
      <c r="AK455" s="32">
        <v>1495</v>
      </c>
      <c r="AL455" s="32">
        <v>41.5</v>
      </c>
    </row>
    <row r="456" spans="1:38" ht="13.5" hidden="1" customHeight="1">
      <c r="A456" s="30" t="s">
        <v>2272</v>
      </c>
      <c r="B456" s="30" t="s">
        <v>2273</v>
      </c>
      <c r="C456" s="30" t="s">
        <v>235</v>
      </c>
      <c r="D456" s="30" t="s">
        <v>2012</v>
      </c>
      <c r="E456" s="30" t="s">
        <v>2036</v>
      </c>
      <c r="F456" s="30" t="s">
        <v>2037</v>
      </c>
      <c r="G456" s="30"/>
      <c r="H456" s="30" t="s">
        <v>2591</v>
      </c>
      <c r="I456" s="30" t="s">
        <v>2015</v>
      </c>
      <c r="J456" s="30" t="s">
        <v>2015</v>
      </c>
      <c r="K456" s="30" t="s">
        <v>2038</v>
      </c>
      <c r="L456" s="30" t="s">
        <v>2017</v>
      </c>
      <c r="M456" s="30" t="s">
        <v>2018</v>
      </c>
      <c r="N456" s="30" t="s">
        <v>2038</v>
      </c>
      <c r="O456" s="30" t="s">
        <v>2039</v>
      </c>
      <c r="P456" s="32">
        <v>2950</v>
      </c>
      <c r="Q456" s="32">
        <v>1248</v>
      </c>
      <c r="R456" s="32">
        <v>312</v>
      </c>
      <c r="S456" s="32">
        <v>179</v>
      </c>
      <c r="T456" s="32">
        <v>87</v>
      </c>
      <c r="U456" s="32">
        <v>167</v>
      </c>
      <c r="V456" s="32">
        <v>119</v>
      </c>
      <c r="W456" s="32">
        <v>61</v>
      </c>
      <c r="X456" s="32">
        <v>479</v>
      </c>
      <c r="Y456" s="32">
        <v>298</v>
      </c>
      <c r="Z456" s="32">
        <v>148</v>
      </c>
      <c r="AA456" s="32">
        <v>953</v>
      </c>
      <c r="AB456" s="32">
        <v>553</v>
      </c>
      <c r="AC456" s="32">
        <v>269</v>
      </c>
      <c r="AD456" s="32">
        <v>239</v>
      </c>
      <c r="AE456" s="32">
        <v>169</v>
      </c>
      <c r="AF456" s="32">
        <v>87</v>
      </c>
      <c r="AG456" s="32">
        <v>1192</v>
      </c>
      <c r="AH456" s="32">
        <v>722</v>
      </c>
      <c r="AI456" s="32">
        <v>356</v>
      </c>
      <c r="AJ456" s="32">
        <v>1192</v>
      </c>
      <c r="AK456" s="32">
        <v>2949</v>
      </c>
      <c r="AL456" s="32">
        <v>40.4</v>
      </c>
    </row>
    <row r="457" spans="1:38" ht="13.5" hidden="1" customHeight="1">
      <c r="A457" s="30" t="s">
        <v>2272</v>
      </c>
      <c r="B457" s="30" t="s">
        <v>2273</v>
      </c>
      <c r="C457" s="30" t="s">
        <v>235</v>
      </c>
      <c r="D457" s="30" t="s">
        <v>2012</v>
      </c>
      <c r="E457" s="30" t="s">
        <v>2036</v>
      </c>
      <c r="F457" s="30" t="s">
        <v>2037</v>
      </c>
      <c r="G457" s="30"/>
      <c r="H457" s="30" t="s">
        <v>2592</v>
      </c>
      <c r="I457" s="30" t="s">
        <v>2015</v>
      </c>
      <c r="J457" s="30" t="s">
        <v>2015</v>
      </c>
      <c r="K457" s="30" t="s">
        <v>2018</v>
      </c>
      <c r="L457" s="30" t="s">
        <v>2017</v>
      </c>
      <c r="M457" s="30" t="s">
        <v>2018</v>
      </c>
      <c r="N457" s="30" t="s">
        <v>2018</v>
      </c>
      <c r="O457" s="30" t="s">
        <v>2015</v>
      </c>
      <c r="P457" s="32">
        <v>5203</v>
      </c>
      <c r="Q457" s="32">
        <v>2679</v>
      </c>
      <c r="R457" s="32">
        <v>619</v>
      </c>
      <c r="S457" s="32">
        <v>364</v>
      </c>
      <c r="T457" s="32">
        <v>177</v>
      </c>
      <c r="U457" s="32">
        <v>558</v>
      </c>
      <c r="V457" s="32">
        <v>406</v>
      </c>
      <c r="W457" s="32">
        <v>213</v>
      </c>
      <c r="X457" s="32">
        <v>1177</v>
      </c>
      <c r="Y457" s="32">
        <v>770</v>
      </c>
      <c r="Z457" s="32">
        <v>390</v>
      </c>
      <c r="AA457" s="32">
        <v>1698</v>
      </c>
      <c r="AB457" s="32">
        <v>995</v>
      </c>
      <c r="AC457" s="32">
        <v>486</v>
      </c>
      <c r="AD457" s="32">
        <v>645</v>
      </c>
      <c r="AE457" s="32">
        <v>472</v>
      </c>
      <c r="AF457" s="32">
        <v>242</v>
      </c>
      <c r="AG457" s="32">
        <v>2343</v>
      </c>
      <c r="AH457" s="32">
        <v>1467</v>
      </c>
      <c r="AI457" s="32">
        <v>728</v>
      </c>
      <c r="AJ457" s="32">
        <v>2343</v>
      </c>
      <c r="AK457" s="32">
        <v>5164</v>
      </c>
      <c r="AL457" s="32">
        <v>45.4</v>
      </c>
    </row>
    <row r="458" spans="1:38" ht="13.5" hidden="1" customHeight="1">
      <c r="A458" s="30" t="s">
        <v>2272</v>
      </c>
      <c r="B458" s="30" t="s">
        <v>2273</v>
      </c>
      <c r="C458" s="30" t="s">
        <v>235</v>
      </c>
      <c r="D458" s="30" t="s">
        <v>2012</v>
      </c>
      <c r="E458" s="30" t="s">
        <v>2036</v>
      </c>
      <c r="F458" s="30" t="s">
        <v>2037</v>
      </c>
      <c r="G458" s="30"/>
      <c r="H458" s="30" t="s">
        <v>2593</v>
      </c>
      <c r="I458" s="30" t="s">
        <v>2015</v>
      </c>
      <c r="J458" s="30" t="s">
        <v>2015</v>
      </c>
      <c r="K458" s="30" t="s">
        <v>2018</v>
      </c>
      <c r="L458" s="30" t="s">
        <v>2017</v>
      </c>
      <c r="M458" s="30" t="s">
        <v>2018</v>
      </c>
      <c r="N458" s="30" t="s">
        <v>2018</v>
      </c>
      <c r="O458" s="30" t="s">
        <v>2015</v>
      </c>
      <c r="P458" s="32">
        <v>247</v>
      </c>
      <c r="Q458" s="32">
        <v>238</v>
      </c>
      <c r="R458" s="32">
        <v>48</v>
      </c>
      <c r="S458" s="32">
        <v>24</v>
      </c>
      <c r="T458" s="32">
        <v>13</v>
      </c>
      <c r="U458" s="32">
        <v>22</v>
      </c>
      <c r="V458" s="32">
        <v>20</v>
      </c>
      <c r="W458" s="32">
        <v>14</v>
      </c>
      <c r="X458" s="32">
        <v>70</v>
      </c>
      <c r="Y458" s="32">
        <v>44</v>
      </c>
      <c r="Z458" s="32">
        <v>27</v>
      </c>
      <c r="AA458" s="32">
        <v>134</v>
      </c>
      <c r="AB458" s="32">
        <v>67</v>
      </c>
      <c r="AC458" s="32">
        <v>36</v>
      </c>
      <c r="AD458" s="32">
        <v>26</v>
      </c>
      <c r="AE458" s="32">
        <v>24</v>
      </c>
      <c r="AF458" s="32">
        <v>17</v>
      </c>
      <c r="AG458" s="32">
        <v>160</v>
      </c>
      <c r="AH458" s="32">
        <v>91</v>
      </c>
      <c r="AI458" s="32">
        <v>53</v>
      </c>
      <c r="AJ458" s="32">
        <v>160</v>
      </c>
      <c r="AK458" s="32">
        <v>248</v>
      </c>
      <c r="AL458" s="32">
        <v>64.5</v>
      </c>
    </row>
    <row r="459" spans="1:38" ht="13.5" hidden="1" customHeight="1">
      <c r="A459" s="30" t="s">
        <v>2272</v>
      </c>
      <c r="B459" s="30" t="s">
        <v>2273</v>
      </c>
      <c r="C459" s="30" t="s">
        <v>235</v>
      </c>
      <c r="D459" s="30" t="s">
        <v>2012</v>
      </c>
      <c r="E459" s="30" t="s">
        <v>2036</v>
      </c>
      <c r="F459" s="30" t="s">
        <v>2037</v>
      </c>
      <c r="G459" s="30"/>
      <c r="H459" s="30" t="s">
        <v>2594</v>
      </c>
      <c r="I459" s="30" t="s">
        <v>2015</v>
      </c>
      <c r="J459" s="30" t="s">
        <v>2015</v>
      </c>
      <c r="K459" s="30" t="s">
        <v>2018</v>
      </c>
      <c r="L459" s="30" t="s">
        <v>2017</v>
      </c>
      <c r="M459" s="30" t="s">
        <v>2018</v>
      </c>
      <c r="N459" s="30" t="s">
        <v>2018</v>
      </c>
      <c r="O459" s="30" t="s">
        <v>2015</v>
      </c>
      <c r="P459" s="32">
        <v>1394</v>
      </c>
      <c r="Q459" s="32">
        <v>602</v>
      </c>
      <c r="R459" s="32">
        <v>94</v>
      </c>
      <c r="S459" s="32">
        <v>35</v>
      </c>
      <c r="T459" s="32">
        <v>12</v>
      </c>
      <c r="U459" s="32">
        <v>76</v>
      </c>
      <c r="V459" s="32">
        <v>57</v>
      </c>
      <c r="W459" s="32">
        <v>47</v>
      </c>
      <c r="X459" s="32">
        <v>170</v>
      </c>
      <c r="Y459" s="32">
        <v>92</v>
      </c>
      <c r="Z459" s="32">
        <v>59</v>
      </c>
      <c r="AA459" s="32">
        <v>282</v>
      </c>
      <c r="AB459" s="32">
        <v>105</v>
      </c>
      <c r="AC459" s="32">
        <v>36</v>
      </c>
      <c r="AD459" s="32">
        <v>99</v>
      </c>
      <c r="AE459" s="32">
        <v>74</v>
      </c>
      <c r="AF459" s="32">
        <v>61</v>
      </c>
      <c r="AG459" s="32">
        <v>381</v>
      </c>
      <c r="AH459" s="32">
        <v>179</v>
      </c>
      <c r="AI459" s="32">
        <v>97</v>
      </c>
      <c r="AJ459" s="32">
        <v>381</v>
      </c>
      <c r="AK459" s="32">
        <v>1394</v>
      </c>
      <c r="AL459" s="32">
        <v>27.3</v>
      </c>
    </row>
    <row r="460" spans="1:38" ht="13.5" hidden="1" customHeight="1">
      <c r="A460" s="30" t="s">
        <v>2272</v>
      </c>
      <c r="B460" s="30" t="s">
        <v>2273</v>
      </c>
      <c r="C460" s="30" t="s">
        <v>235</v>
      </c>
      <c r="D460" s="30" t="s">
        <v>2012</v>
      </c>
      <c r="E460" s="30" t="s">
        <v>2036</v>
      </c>
      <c r="F460" s="30" t="s">
        <v>2037</v>
      </c>
      <c r="G460" s="30"/>
      <c r="H460" s="30" t="s">
        <v>2595</v>
      </c>
      <c r="I460" s="30" t="s">
        <v>2015</v>
      </c>
      <c r="J460" s="30" t="s">
        <v>2015</v>
      </c>
      <c r="K460" s="30" t="s">
        <v>2018</v>
      </c>
      <c r="L460" s="30" t="s">
        <v>2017</v>
      </c>
      <c r="M460" s="30" t="s">
        <v>2018</v>
      </c>
      <c r="N460" s="30" t="s">
        <v>2018</v>
      </c>
      <c r="O460" s="30" t="s">
        <v>2015</v>
      </c>
      <c r="P460" s="32">
        <v>3017</v>
      </c>
      <c r="Q460" s="32">
        <v>1574</v>
      </c>
      <c r="R460" s="32">
        <v>326</v>
      </c>
      <c r="S460" s="32">
        <v>175</v>
      </c>
      <c r="T460" s="32">
        <v>71</v>
      </c>
      <c r="U460" s="32">
        <v>307</v>
      </c>
      <c r="V460" s="32">
        <v>235</v>
      </c>
      <c r="W460" s="32">
        <v>146</v>
      </c>
      <c r="X460" s="32">
        <v>633</v>
      </c>
      <c r="Y460" s="32">
        <v>410</v>
      </c>
      <c r="Z460" s="32">
        <v>217</v>
      </c>
      <c r="AA460" s="32">
        <v>968</v>
      </c>
      <c r="AB460" s="32">
        <v>516</v>
      </c>
      <c r="AC460" s="32">
        <v>211</v>
      </c>
      <c r="AD460" s="32">
        <v>366</v>
      </c>
      <c r="AE460" s="32">
        <v>275</v>
      </c>
      <c r="AF460" s="32">
        <v>172</v>
      </c>
      <c r="AG460" s="32">
        <v>1334</v>
      </c>
      <c r="AH460" s="32">
        <v>791</v>
      </c>
      <c r="AI460" s="32">
        <v>383</v>
      </c>
      <c r="AJ460" s="32">
        <v>1334</v>
      </c>
      <c r="AK460" s="32">
        <v>3017</v>
      </c>
      <c r="AL460" s="32">
        <v>44.2</v>
      </c>
    </row>
    <row r="461" spans="1:38" ht="13.5" hidden="1" customHeight="1">
      <c r="A461" s="30" t="s">
        <v>2272</v>
      </c>
      <c r="B461" s="30" t="s">
        <v>2273</v>
      </c>
      <c r="C461" s="30" t="s">
        <v>235</v>
      </c>
      <c r="D461" s="30" t="s">
        <v>2012</v>
      </c>
      <c r="E461" s="30" t="s">
        <v>2036</v>
      </c>
      <c r="F461" s="30" t="s">
        <v>2037</v>
      </c>
      <c r="G461" s="30"/>
      <c r="H461" s="30" t="s">
        <v>2596</v>
      </c>
      <c r="I461" s="30" t="s">
        <v>2015</v>
      </c>
      <c r="J461" s="30" t="s">
        <v>2015</v>
      </c>
      <c r="K461" s="30" t="s">
        <v>2018</v>
      </c>
      <c r="L461" s="30" t="s">
        <v>2017</v>
      </c>
      <c r="M461" s="30" t="s">
        <v>2018</v>
      </c>
      <c r="N461" s="30" t="s">
        <v>2018</v>
      </c>
      <c r="O461" s="30" t="s">
        <v>2015</v>
      </c>
      <c r="P461" s="32">
        <v>443</v>
      </c>
      <c r="Q461" s="32">
        <v>1037</v>
      </c>
      <c r="R461" s="32">
        <v>50</v>
      </c>
      <c r="S461" s="32">
        <v>16</v>
      </c>
      <c r="T461" s="32">
        <v>4</v>
      </c>
      <c r="U461" s="32">
        <v>27</v>
      </c>
      <c r="V461" s="32">
        <v>15</v>
      </c>
      <c r="W461" s="32">
        <v>5</v>
      </c>
      <c r="X461" s="32">
        <v>77</v>
      </c>
      <c r="Y461" s="32">
        <v>31</v>
      </c>
      <c r="Z461" s="32">
        <v>9</v>
      </c>
      <c r="AA461" s="32">
        <v>135</v>
      </c>
      <c r="AB461" s="32">
        <v>43</v>
      </c>
      <c r="AC461" s="32">
        <v>11</v>
      </c>
      <c r="AD461" s="32">
        <v>34</v>
      </c>
      <c r="AE461" s="32">
        <v>20</v>
      </c>
      <c r="AF461" s="32">
        <v>6</v>
      </c>
      <c r="AG461" s="32">
        <v>169</v>
      </c>
      <c r="AH461" s="32">
        <v>63</v>
      </c>
      <c r="AI461" s="32">
        <v>17</v>
      </c>
      <c r="AJ461" s="32">
        <v>169</v>
      </c>
      <c r="AK461" s="32">
        <v>463</v>
      </c>
      <c r="AL461" s="32">
        <v>36.5</v>
      </c>
    </row>
    <row r="462" spans="1:38" ht="13.5" hidden="1" customHeight="1">
      <c r="A462" s="30" t="s">
        <v>2272</v>
      </c>
      <c r="B462" s="30" t="s">
        <v>2273</v>
      </c>
      <c r="C462" s="30" t="s">
        <v>235</v>
      </c>
      <c r="D462" s="30" t="s">
        <v>2012</v>
      </c>
      <c r="E462" s="30" t="s">
        <v>2036</v>
      </c>
      <c r="F462" s="30" t="s">
        <v>2037</v>
      </c>
      <c r="G462" s="30"/>
      <c r="H462" s="30" t="s">
        <v>2203</v>
      </c>
      <c r="I462" s="30" t="s">
        <v>2015</v>
      </c>
      <c r="J462" s="30" t="s">
        <v>2015</v>
      </c>
      <c r="K462" s="30" t="s">
        <v>2038</v>
      </c>
      <c r="L462" s="30" t="s">
        <v>2017</v>
      </c>
      <c r="M462" s="30" t="s">
        <v>2018</v>
      </c>
      <c r="N462" s="30" t="s">
        <v>2038</v>
      </c>
      <c r="O462" s="30" t="s">
        <v>2039</v>
      </c>
      <c r="P462" s="32">
        <v>8130</v>
      </c>
      <c r="Q462" s="32">
        <v>3686</v>
      </c>
      <c r="R462" s="32">
        <v>809</v>
      </c>
      <c r="S462" s="32">
        <v>461</v>
      </c>
      <c r="T462" s="32">
        <v>268</v>
      </c>
      <c r="U462" s="32">
        <v>1066</v>
      </c>
      <c r="V462" s="32">
        <v>799</v>
      </c>
      <c r="W462" s="32">
        <v>479</v>
      </c>
      <c r="X462" s="32">
        <v>1875</v>
      </c>
      <c r="Y462" s="32">
        <v>1260</v>
      </c>
      <c r="Z462" s="32">
        <v>747</v>
      </c>
      <c r="AA462" s="32">
        <v>2374</v>
      </c>
      <c r="AB462" s="32">
        <v>1343</v>
      </c>
      <c r="AC462" s="32">
        <v>773</v>
      </c>
      <c r="AD462" s="32">
        <v>1476</v>
      </c>
      <c r="AE462" s="32">
        <v>1095</v>
      </c>
      <c r="AF462" s="32">
        <v>644</v>
      </c>
      <c r="AG462" s="32">
        <v>3850</v>
      </c>
      <c r="AH462" s="32">
        <v>2438</v>
      </c>
      <c r="AI462" s="32">
        <v>1417</v>
      </c>
      <c r="AJ462" s="32">
        <v>3850</v>
      </c>
      <c r="AK462" s="32">
        <v>7889</v>
      </c>
      <c r="AL462" s="32">
        <v>48.8</v>
      </c>
    </row>
    <row r="463" spans="1:38" ht="13.5" hidden="1" customHeight="1">
      <c r="A463" s="30" t="s">
        <v>2272</v>
      </c>
      <c r="B463" s="30" t="s">
        <v>2273</v>
      </c>
      <c r="C463" s="30" t="s">
        <v>235</v>
      </c>
      <c r="D463" s="30" t="s">
        <v>2012</v>
      </c>
      <c r="E463" s="30" t="s">
        <v>2036</v>
      </c>
      <c r="F463" s="30" t="s">
        <v>2037</v>
      </c>
      <c r="G463" s="30"/>
      <c r="H463" s="30" t="s">
        <v>2597</v>
      </c>
      <c r="I463" s="30" t="s">
        <v>2015</v>
      </c>
      <c r="J463" s="30" t="s">
        <v>2015</v>
      </c>
      <c r="K463" s="30" t="s">
        <v>2038</v>
      </c>
      <c r="L463" s="30" t="s">
        <v>2017</v>
      </c>
      <c r="M463" s="30" t="s">
        <v>2018</v>
      </c>
      <c r="N463" s="30" t="s">
        <v>2038</v>
      </c>
      <c r="O463" s="30" t="s">
        <v>2039</v>
      </c>
      <c r="P463" s="32">
        <v>9112</v>
      </c>
      <c r="Q463" s="32">
        <v>2899</v>
      </c>
      <c r="R463" s="32">
        <v>416</v>
      </c>
      <c r="S463" s="32">
        <v>267</v>
      </c>
      <c r="T463" s="32">
        <v>156</v>
      </c>
      <c r="U463" s="32">
        <v>941</v>
      </c>
      <c r="V463" s="32">
        <v>690</v>
      </c>
      <c r="W463" s="32">
        <v>387</v>
      </c>
      <c r="X463" s="32">
        <v>1357</v>
      </c>
      <c r="Y463" s="32">
        <v>957</v>
      </c>
      <c r="Z463" s="32">
        <v>543</v>
      </c>
      <c r="AA463" s="32">
        <v>1190</v>
      </c>
      <c r="AB463" s="32">
        <v>768</v>
      </c>
      <c r="AC463" s="32">
        <v>457</v>
      </c>
      <c r="AD463" s="32">
        <v>1516</v>
      </c>
      <c r="AE463" s="32">
        <v>1108</v>
      </c>
      <c r="AF463" s="32">
        <v>623</v>
      </c>
      <c r="AG463" s="32">
        <v>2706</v>
      </c>
      <c r="AH463" s="32">
        <v>1876</v>
      </c>
      <c r="AI463" s="32">
        <v>1080</v>
      </c>
      <c r="AJ463" s="32">
        <v>2706</v>
      </c>
      <c r="AK463" s="32">
        <v>5995</v>
      </c>
      <c r="AL463" s="32">
        <v>45.1</v>
      </c>
    </row>
    <row r="464" spans="1:38" ht="13.5" hidden="1" customHeight="1">
      <c r="A464" s="30" t="s">
        <v>2272</v>
      </c>
      <c r="B464" s="30" t="s">
        <v>2273</v>
      </c>
      <c r="C464" s="30" t="s">
        <v>235</v>
      </c>
      <c r="D464" s="30" t="s">
        <v>2012</v>
      </c>
      <c r="E464" s="30" t="s">
        <v>2036</v>
      </c>
      <c r="F464" s="30" t="s">
        <v>2037</v>
      </c>
      <c r="G464" s="30"/>
      <c r="H464" s="30" t="s">
        <v>2598</v>
      </c>
      <c r="I464" s="30" t="s">
        <v>2015</v>
      </c>
      <c r="J464" s="30" t="s">
        <v>2015</v>
      </c>
      <c r="K464" s="30" t="s">
        <v>2038</v>
      </c>
      <c r="L464" s="30" t="s">
        <v>2017</v>
      </c>
      <c r="M464" s="30" t="s">
        <v>2018</v>
      </c>
      <c r="N464" s="30" t="s">
        <v>2038</v>
      </c>
      <c r="O464" s="30" t="s">
        <v>2039</v>
      </c>
      <c r="P464" s="32">
        <v>3526</v>
      </c>
      <c r="Q464" s="32">
        <v>1489</v>
      </c>
      <c r="R464" s="32">
        <v>286</v>
      </c>
      <c r="S464" s="32">
        <v>97</v>
      </c>
      <c r="T464" s="32">
        <v>41</v>
      </c>
      <c r="U464" s="32">
        <v>196</v>
      </c>
      <c r="V464" s="32">
        <v>139</v>
      </c>
      <c r="W464" s="32">
        <v>86</v>
      </c>
      <c r="X464" s="32">
        <v>482</v>
      </c>
      <c r="Y464" s="32">
        <v>236</v>
      </c>
      <c r="Z464" s="32">
        <v>127</v>
      </c>
      <c r="AA464" s="32">
        <v>845</v>
      </c>
      <c r="AB464" s="32">
        <v>290</v>
      </c>
      <c r="AC464" s="32">
        <v>124</v>
      </c>
      <c r="AD464" s="32">
        <v>221</v>
      </c>
      <c r="AE464" s="32">
        <v>156</v>
      </c>
      <c r="AF464" s="32">
        <v>95</v>
      </c>
      <c r="AG464" s="32">
        <v>1066</v>
      </c>
      <c r="AH464" s="32">
        <v>446</v>
      </c>
      <c r="AI464" s="32">
        <v>219</v>
      </c>
      <c r="AJ464" s="32">
        <v>1066</v>
      </c>
      <c r="AK464" s="32">
        <v>3556</v>
      </c>
      <c r="AL464" s="32">
        <v>30</v>
      </c>
    </row>
    <row r="465" spans="1:38" ht="13.5" hidden="1" customHeight="1">
      <c r="A465" s="30" t="s">
        <v>2272</v>
      </c>
      <c r="B465" s="30" t="s">
        <v>2273</v>
      </c>
      <c r="C465" s="30" t="s">
        <v>235</v>
      </c>
      <c r="D465" s="30" t="s">
        <v>2012</v>
      </c>
      <c r="E465" s="30" t="s">
        <v>2036</v>
      </c>
      <c r="F465" s="30" t="s">
        <v>2037</v>
      </c>
      <c r="G465" s="30"/>
      <c r="H465" s="30" t="s">
        <v>2599</v>
      </c>
      <c r="I465" s="30" t="s">
        <v>2015</v>
      </c>
      <c r="J465" s="30" t="s">
        <v>2015</v>
      </c>
      <c r="K465" s="30" t="s">
        <v>2018</v>
      </c>
      <c r="L465" s="30" t="s">
        <v>2017</v>
      </c>
      <c r="M465" s="30" t="s">
        <v>2018</v>
      </c>
      <c r="N465" s="30" t="s">
        <v>2018</v>
      </c>
      <c r="O465" s="30" t="s">
        <v>2015</v>
      </c>
      <c r="P465" s="32">
        <v>441</v>
      </c>
      <c r="Q465" s="32">
        <v>203</v>
      </c>
      <c r="R465" s="32">
        <v>49</v>
      </c>
      <c r="S465" s="32">
        <v>29</v>
      </c>
      <c r="T465" s="32">
        <v>14</v>
      </c>
      <c r="U465" s="32">
        <v>26</v>
      </c>
      <c r="V465" s="32">
        <v>19</v>
      </c>
      <c r="W465" s="32">
        <v>10</v>
      </c>
      <c r="X465" s="32">
        <v>75</v>
      </c>
      <c r="Y465" s="32">
        <v>48</v>
      </c>
      <c r="Z465" s="32">
        <v>24</v>
      </c>
      <c r="AA465" s="32">
        <v>152</v>
      </c>
      <c r="AB465" s="32">
        <v>90</v>
      </c>
      <c r="AC465" s="32">
        <v>43</v>
      </c>
      <c r="AD465" s="32">
        <v>29</v>
      </c>
      <c r="AE465" s="32">
        <v>21</v>
      </c>
      <c r="AF465" s="32">
        <v>11</v>
      </c>
      <c r="AG465" s="32">
        <v>181</v>
      </c>
      <c r="AH465" s="32">
        <v>111</v>
      </c>
      <c r="AI465" s="32">
        <v>54</v>
      </c>
      <c r="AJ465" s="32">
        <v>181</v>
      </c>
      <c r="AK465" s="32">
        <v>433</v>
      </c>
      <c r="AL465" s="32">
        <v>41.8</v>
      </c>
    </row>
    <row r="466" spans="1:38" ht="13.5" hidden="1" customHeight="1">
      <c r="A466" s="30" t="s">
        <v>2272</v>
      </c>
      <c r="B466" s="30" t="s">
        <v>2273</v>
      </c>
      <c r="C466" s="30" t="s">
        <v>235</v>
      </c>
      <c r="D466" s="30" t="s">
        <v>2012</v>
      </c>
      <c r="E466" s="30" t="s">
        <v>2036</v>
      </c>
      <c r="F466" s="30" t="s">
        <v>2037</v>
      </c>
      <c r="G466" s="30"/>
      <c r="H466" s="30" t="s">
        <v>2600</v>
      </c>
      <c r="I466" s="30" t="s">
        <v>2015</v>
      </c>
      <c r="J466" s="30" t="s">
        <v>2015</v>
      </c>
      <c r="K466" s="30" t="s">
        <v>2018</v>
      </c>
      <c r="L466" s="30" t="s">
        <v>2017</v>
      </c>
      <c r="M466" s="30" t="s">
        <v>2018</v>
      </c>
      <c r="N466" s="30" t="s">
        <v>2018</v>
      </c>
      <c r="O466" s="30" t="s">
        <v>2015</v>
      </c>
      <c r="P466" s="32">
        <v>1111</v>
      </c>
      <c r="Q466" s="32">
        <v>553</v>
      </c>
      <c r="R466" s="32">
        <v>128</v>
      </c>
      <c r="S466" s="32">
        <v>74</v>
      </c>
      <c r="T466" s="32">
        <v>25</v>
      </c>
      <c r="U466" s="32">
        <v>121</v>
      </c>
      <c r="V466" s="32">
        <v>95</v>
      </c>
      <c r="W466" s="32">
        <v>56</v>
      </c>
      <c r="X466" s="32">
        <v>249</v>
      </c>
      <c r="Y466" s="32">
        <v>169</v>
      </c>
      <c r="Z466" s="32">
        <v>81</v>
      </c>
      <c r="AA466" s="32">
        <v>371</v>
      </c>
      <c r="AB466" s="32">
        <v>215</v>
      </c>
      <c r="AC466" s="32">
        <v>73</v>
      </c>
      <c r="AD466" s="32">
        <v>169</v>
      </c>
      <c r="AE466" s="32">
        <v>133</v>
      </c>
      <c r="AF466" s="32">
        <v>78</v>
      </c>
      <c r="AG466" s="32">
        <v>540</v>
      </c>
      <c r="AH466" s="32">
        <v>348</v>
      </c>
      <c r="AI466" s="32">
        <v>151</v>
      </c>
      <c r="AJ466" s="32">
        <v>540</v>
      </c>
      <c r="AK466" s="32">
        <v>1078</v>
      </c>
      <c r="AL466" s="32">
        <v>50.1</v>
      </c>
    </row>
    <row r="467" spans="1:38" ht="13.5" hidden="1" customHeight="1">
      <c r="A467" s="30" t="s">
        <v>2272</v>
      </c>
      <c r="B467" s="30" t="s">
        <v>2273</v>
      </c>
      <c r="C467" s="30" t="s">
        <v>235</v>
      </c>
      <c r="D467" s="30" t="s">
        <v>2012</v>
      </c>
      <c r="E467" s="30" t="s">
        <v>2036</v>
      </c>
      <c r="F467" s="30" t="s">
        <v>2037</v>
      </c>
      <c r="G467" s="30"/>
      <c r="H467" s="30" t="s">
        <v>2336</v>
      </c>
      <c r="I467" s="30" t="s">
        <v>2015</v>
      </c>
      <c r="J467" s="30" t="s">
        <v>2015</v>
      </c>
      <c r="K467" s="30" t="s">
        <v>2038</v>
      </c>
      <c r="L467" s="30" t="s">
        <v>2017</v>
      </c>
      <c r="M467" s="30" t="s">
        <v>2018</v>
      </c>
      <c r="N467" s="30" t="s">
        <v>2038</v>
      </c>
      <c r="O467" s="30" t="s">
        <v>2039</v>
      </c>
      <c r="P467" s="32">
        <v>562</v>
      </c>
      <c r="Q467" s="32">
        <v>263</v>
      </c>
      <c r="R467" s="32">
        <v>107</v>
      </c>
      <c r="S467" s="32">
        <v>78</v>
      </c>
      <c r="T467" s="32">
        <v>34</v>
      </c>
      <c r="U467" s="32">
        <v>50</v>
      </c>
      <c r="V467" s="32">
        <v>37</v>
      </c>
      <c r="W467" s="32">
        <v>25</v>
      </c>
      <c r="X467" s="32">
        <v>157</v>
      </c>
      <c r="Y467" s="32">
        <v>115</v>
      </c>
      <c r="Z467" s="32">
        <v>59</v>
      </c>
      <c r="AA467" s="32">
        <v>300</v>
      </c>
      <c r="AB467" s="32">
        <v>218</v>
      </c>
      <c r="AC467" s="32">
        <v>95</v>
      </c>
      <c r="AD467" s="32">
        <v>64</v>
      </c>
      <c r="AE467" s="32">
        <v>48</v>
      </c>
      <c r="AF467" s="32">
        <v>32</v>
      </c>
      <c r="AG467" s="32">
        <v>364</v>
      </c>
      <c r="AH467" s="32">
        <v>266</v>
      </c>
      <c r="AI467" s="32">
        <v>127</v>
      </c>
      <c r="AJ467" s="32">
        <v>364</v>
      </c>
      <c r="AK467" s="32">
        <v>559</v>
      </c>
      <c r="AL467" s="32">
        <v>65.099999999999994</v>
      </c>
    </row>
    <row r="468" spans="1:38" ht="13.5" hidden="1" customHeight="1">
      <c r="A468" s="30" t="s">
        <v>2272</v>
      </c>
      <c r="B468" s="30" t="s">
        <v>2273</v>
      </c>
      <c r="C468" s="30" t="s">
        <v>235</v>
      </c>
      <c r="D468" s="30" t="s">
        <v>2012</v>
      </c>
      <c r="E468" s="30" t="s">
        <v>2036</v>
      </c>
      <c r="F468" s="30" t="s">
        <v>2037</v>
      </c>
      <c r="G468" s="30"/>
      <c r="H468" s="30" t="s">
        <v>2601</v>
      </c>
      <c r="I468" s="30" t="s">
        <v>2015</v>
      </c>
      <c r="J468" s="30" t="s">
        <v>2015</v>
      </c>
      <c r="K468" s="30" t="s">
        <v>2018</v>
      </c>
      <c r="L468" s="30" t="s">
        <v>2017</v>
      </c>
      <c r="M468" s="30" t="s">
        <v>2018</v>
      </c>
      <c r="N468" s="30" t="s">
        <v>2018</v>
      </c>
      <c r="O468" s="30" t="s">
        <v>2015</v>
      </c>
      <c r="P468" s="32">
        <v>1257</v>
      </c>
      <c r="Q468" s="32">
        <v>562</v>
      </c>
      <c r="R468" s="32">
        <v>163</v>
      </c>
      <c r="S468" s="32">
        <v>96</v>
      </c>
      <c r="T468" s="32">
        <v>48</v>
      </c>
      <c r="U468" s="32">
        <v>80</v>
      </c>
      <c r="V468" s="32">
        <v>49</v>
      </c>
      <c r="W468" s="32">
        <v>29</v>
      </c>
      <c r="X468" s="32">
        <v>243</v>
      </c>
      <c r="Y468" s="32">
        <v>145</v>
      </c>
      <c r="Z468" s="32">
        <v>77</v>
      </c>
      <c r="AA468" s="32">
        <v>505</v>
      </c>
      <c r="AB468" s="32">
        <v>298</v>
      </c>
      <c r="AC468" s="32">
        <v>149</v>
      </c>
      <c r="AD468" s="32">
        <v>96</v>
      </c>
      <c r="AE468" s="32">
        <v>59</v>
      </c>
      <c r="AF468" s="32">
        <v>35</v>
      </c>
      <c r="AG468" s="32">
        <v>601</v>
      </c>
      <c r="AH468" s="32">
        <v>357</v>
      </c>
      <c r="AI468" s="32">
        <v>184</v>
      </c>
      <c r="AJ468" s="32">
        <v>601</v>
      </c>
      <c r="AK468" s="32">
        <v>1249</v>
      </c>
      <c r="AL468" s="32">
        <v>48.1</v>
      </c>
    </row>
    <row r="469" spans="1:38" ht="13.5" hidden="1" customHeight="1">
      <c r="A469" s="30" t="s">
        <v>2272</v>
      </c>
      <c r="B469" s="30" t="s">
        <v>2273</v>
      </c>
      <c r="C469" s="30" t="s">
        <v>235</v>
      </c>
      <c r="D469" s="30" t="s">
        <v>2012</v>
      </c>
      <c r="E469" s="30" t="s">
        <v>2036</v>
      </c>
      <c r="F469" s="30" t="s">
        <v>2037</v>
      </c>
      <c r="G469" s="30"/>
      <c r="H469" s="30" t="s">
        <v>2602</v>
      </c>
      <c r="I469" s="30" t="s">
        <v>2015</v>
      </c>
      <c r="J469" s="30" t="s">
        <v>2015</v>
      </c>
      <c r="K469" s="30" t="s">
        <v>2018</v>
      </c>
      <c r="L469" s="30" t="s">
        <v>2017</v>
      </c>
      <c r="M469" s="30" t="s">
        <v>2018</v>
      </c>
      <c r="N469" s="30" t="s">
        <v>2018</v>
      </c>
      <c r="O469" s="30" t="s">
        <v>2015</v>
      </c>
      <c r="P469" s="32">
        <v>214</v>
      </c>
      <c r="Q469" s="32">
        <v>113</v>
      </c>
      <c r="R469" s="32">
        <v>49</v>
      </c>
      <c r="S469" s="32">
        <v>36</v>
      </c>
      <c r="T469" s="32">
        <v>21</v>
      </c>
      <c r="U469" s="32">
        <v>15</v>
      </c>
      <c r="V469" s="32">
        <v>15</v>
      </c>
      <c r="W469" s="32">
        <v>12</v>
      </c>
      <c r="X469" s="32">
        <v>64</v>
      </c>
      <c r="Y469" s="32">
        <v>51</v>
      </c>
      <c r="Z469" s="32">
        <v>33</v>
      </c>
      <c r="AA469" s="32">
        <v>157</v>
      </c>
      <c r="AB469" s="32">
        <v>115</v>
      </c>
      <c r="AC469" s="32">
        <v>67</v>
      </c>
      <c r="AD469" s="32">
        <v>18</v>
      </c>
      <c r="AE469" s="32">
        <v>18</v>
      </c>
      <c r="AF469" s="32">
        <v>14</v>
      </c>
      <c r="AG469" s="32">
        <v>175</v>
      </c>
      <c r="AH469" s="32">
        <v>133</v>
      </c>
      <c r="AI469" s="32">
        <v>81</v>
      </c>
      <c r="AJ469" s="32">
        <v>175</v>
      </c>
      <c r="AK469" s="32">
        <v>243</v>
      </c>
      <c r="AL469" s="32">
        <v>72</v>
      </c>
    </row>
    <row r="470" spans="1:38" ht="13.5" hidden="1" customHeight="1">
      <c r="A470" s="30" t="s">
        <v>2272</v>
      </c>
      <c r="B470" s="30" t="s">
        <v>2273</v>
      </c>
      <c r="C470" s="30" t="s">
        <v>235</v>
      </c>
      <c r="D470" s="30" t="s">
        <v>2012</v>
      </c>
      <c r="E470" s="30" t="s">
        <v>2036</v>
      </c>
      <c r="F470" s="30" t="s">
        <v>2037</v>
      </c>
      <c r="G470" s="30"/>
      <c r="H470" s="30" t="s">
        <v>2603</v>
      </c>
      <c r="I470" s="30" t="s">
        <v>2015</v>
      </c>
      <c r="J470" s="30" t="s">
        <v>2015</v>
      </c>
      <c r="K470" s="30" t="s">
        <v>2018</v>
      </c>
      <c r="L470" s="30" t="s">
        <v>2017</v>
      </c>
      <c r="M470" s="30" t="s">
        <v>2018</v>
      </c>
      <c r="N470" s="30" t="s">
        <v>2018</v>
      </c>
      <c r="O470" s="30" t="s">
        <v>2015</v>
      </c>
      <c r="P470" s="32">
        <v>41</v>
      </c>
      <c r="Q470" s="32">
        <v>58</v>
      </c>
      <c r="R470" s="32">
        <v>5</v>
      </c>
      <c r="S470" s="32">
        <v>3</v>
      </c>
      <c r="T470" s="32">
        <v>1</v>
      </c>
      <c r="U470" s="32">
        <v>0</v>
      </c>
      <c r="V470" s="32">
        <v>0</v>
      </c>
      <c r="W470" s="32">
        <v>0</v>
      </c>
      <c r="X470" s="32">
        <v>5</v>
      </c>
      <c r="Y470" s="32">
        <v>3</v>
      </c>
      <c r="Z470" s="32">
        <v>1</v>
      </c>
      <c r="AA470" s="32">
        <v>14</v>
      </c>
      <c r="AB470" s="32">
        <v>8</v>
      </c>
      <c r="AC470" s="32">
        <v>3</v>
      </c>
      <c r="AD470" s="32">
        <v>0</v>
      </c>
      <c r="AE470" s="32">
        <v>0</v>
      </c>
      <c r="AF470" s="32">
        <v>0</v>
      </c>
      <c r="AG470" s="32">
        <v>14</v>
      </c>
      <c r="AH470" s="32">
        <v>8</v>
      </c>
      <c r="AI470" s="32">
        <v>3</v>
      </c>
      <c r="AJ470" s="32">
        <v>14</v>
      </c>
      <c r="AK470" s="32">
        <v>35</v>
      </c>
      <c r="AL470" s="32">
        <v>40</v>
      </c>
    </row>
    <row r="471" spans="1:38" ht="13.5" hidden="1" customHeight="1">
      <c r="A471" s="30" t="s">
        <v>2272</v>
      </c>
      <c r="B471" s="30" t="s">
        <v>2273</v>
      </c>
      <c r="C471" s="30" t="s">
        <v>235</v>
      </c>
      <c r="D471" s="30" t="s">
        <v>2012</v>
      </c>
      <c r="E471" s="30" t="s">
        <v>2036</v>
      </c>
      <c r="F471" s="30" t="s">
        <v>2037</v>
      </c>
      <c r="G471" s="30"/>
      <c r="H471" s="30" t="s">
        <v>2604</v>
      </c>
      <c r="I471" s="30" t="s">
        <v>2015</v>
      </c>
      <c r="J471" s="30" t="s">
        <v>2015</v>
      </c>
      <c r="K471" s="30" t="s">
        <v>2018</v>
      </c>
      <c r="L471" s="30" t="s">
        <v>2017</v>
      </c>
      <c r="M471" s="30" t="s">
        <v>2018</v>
      </c>
      <c r="N471" s="30" t="s">
        <v>2018</v>
      </c>
      <c r="O471" s="30" t="s">
        <v>2015</v>
      </c>
      <c r="P471" s="32">
        <v>379</v>
      </c>
      <c r="Q471" s="32">
        <v>196</v>
      </c>
      <c r="R471" s="32">
        <v>59</v>
      </c>
      <c r="S471" s="32">
        <v>34</v>
      </c>
      <c r="T471" s="32">
        <v>15</v>
      </c>
      <c r="U471" s="32">
        <v>23</v>
      </c>
      <c r="V471" s="32">
        <v>19</v>
      </c>
      <c r="W471" s="32">
        <v>11</v>
      </c>
      <c r="X471" s="32">
        <v>82</v>
      </c>
      <c r="Y471" s="32">
        <v>53</v>
      </c>
      <c r="Z471" s="32">
        <v>26</v>
      </c>
      <c r="AA471" s="32">
        <v>171</v>
      </c>
      <c r="AB471" s="32">
        <v>99</v>
      </c>
      <c r="AC471" s="32">
        <v>44</v>
      </c>
      <c r="AD471" s="32">
        <v>30</v>
      </c>
      <c r="AE471" s="32">
        <v>25</v>
      </c>
      <c r="AF471" s="32">
        <v>14</v>
      </c>
      <c r="AG471" s="32">
        <v>201</v>
      </c>
      <c r="AH471" s="32">
        <v>124</v>
      </c>
      <c r="AI471" s="32">
        <v>58</v>
      </c>
      <c r="AJ471" s="32">
        <v>201</v>
      </c>
      <c r="AK471" s="32">
        <v>379</v>
      </c>
      <c r="AL471" s="32">
        <v>53</v>
      </c>
    </row>
    <row r="472" spans="1:38" ht="13.5" hidden="1" customHeight="1">
      <c r="A472" s="30" t="s">
        <v>2272</v>
      </c>
      <c r="B472" s="30" t="s">
        <v>2273</v>
      </c>
      <c r="C472" s="30" t="s">
        <v>235</v>
      </c>
      <c r="D472" s="30" t="s">
        <v>2012</v>
      </c>
      <c r="E472" s="30" t="s">
        <v>2036</v>
      </c>
      <c r="F472" s="30" t="s">
        <v>2037</v>
      </c>
      <c r="G472" s="30"/>
      <c r="H472" s="30" t="s">
        <v>2605</v>
      </c>
      <c r="I472" s="30" t="s">
        <v>2015</v>
      </c>
      <c r="J472" s="30" t="s">
        <v>2015</v>
      </c>
      <c r="K472" s="30" t="s">
        <v>2018</v>
      </c>
      <c r="L472" s="30" t="s">
        <v>2017</v>
      </c>
      <c r="M472" s="30" t="s">
        <v>2018</v>
      </c>
      <c r="N472" s="30" t="s">
        <v>2018</v>
      </c>
      <c r="O472" s="30" t="s">
        <v>2015</v>
      </c>
      <c r="P472" s="32">
        <v>405</v>
      </c>
      <c r="Q472" s="32">
        <v>226</v>
      </c>
      <c r="R472" s="32">
        <v>54</v>
      </c>
      <c r="S472" s="32">
        <v>34</v>
      </c>
      <c r="T472" s="32">
        <v>16</v>
      </c>
      <c r="U472" s="32">
        <v>31</v>
      </c>
      <c r="V472" s="32">
        <v>27</v>
      </c>
      <c r="W472" s="32">
        <v>15</v>
      </c>
      <c r="X472" s="32">
        <v>85</v>
      </c>
      <c r="Y472" s="32">
        <v>61</v>
      </c>
      <c r="Z472" s="32">
        <v>31</v>
      </c>
      <c r="AA472" s="32">
        <v>157</v>
      </c>
      <c r="AB472" s="32">
        <v>99</v>
      </c>
      <c r="AC472" s="32">
        <v>46</v>
      </c>
      <c r="AD472" s="32">
        <v>34</v>
      </c>
      <c r="AE472" s="32">
        <v>30</v>
      </c>
      <c r="AF472" s="32">
        <v>17</v>
      </c>
      <c r="AG472" s="32">
        <v>191</v>
      </c>
      <c r="AH472" s="32">
        <v>129</v>
      </c>
      <c r="AI472" s="32">
        <v>63</v>
      </c>
      <c r="AJ472" s="32">
        <v>191</v>
      </c>
      <c r="AK472" s="32">
        <v>384</v>
      </c>
      <c r="AL472" s="32">
        <v>49.7</v>
      </c>
    </row>
    <row r="473" spans="1:38" ht="13.5" hidden="1" customHeight="1">
      <c r="A473" s="30" t="s">
        <v>2272</v>
      </c>
      <c r="B473" s="30" t="s">
        <v>2273</v>
      </c>
      <c r="C473" s="30" t="s">
        <v>235</v>
      </c>
      <c r="D473" s="30" t="s">
        <v>2012</v>
      </c>
      <c r="E473" s="30" t="s">
        <v>2036</v>
      </c>
      <c r="F473" s="30" t="s">
        <v>2037</v>
      </c>
      <c r="G473" s="30"/>
      <c r="H473" s="30" t="s">
        <v>2606</v>
      </c>
      <c r="I473" s="30" t="s">
        <v>2015</v>
      </c>
      <c r="J473" s="30" t="s">
        <v>2015</v>
      </c>
      <c r="K473" s="30" t="s">
        <v>2018</v>
      </c>
      <c r="L473" s="30" t="s">
        <v>2017</v>
      </c>
      <c r="M473" s="30" t="s">
        <v>2018</v>
      </c>
      <c r="N473" s="30" t="s">
        <v>2018</v>
      </c>
      <c r="O473" s="30" t="s">
        <v>2015</v>
      </c>
      <c r="P473" s="32">
        <v>981</v>
      </c>
      <c r="Q473" s="32">
        <v>513</v>
      </c>
      <c r="R473" s="32">
        <v>118</v>
      </c>
      <c r="S473" s="32">
        <v>59</v>
      </c>
      <c r="T473" s="32">
        <v>23</v>
      </c>
      <c r="U473" s="32">
        <v>70</v>
      </c>
      <c r="V473" s="32">
        <v>52</v>
      </c>
      <c r="W473" s="32">
        <v>31</v>
      </c>
      <c r="X473" s="32">
        <v>188</v>
      </c>
      <c r="Y473" s="32">
        <v>111</v>
      </c>
      <c r="Z473" s="32">
        <v>54</v>
      </c>
      <c r="AA473" s="32">
        <v>354</v>
      </c>
      <c r="AB473" s="32">
        <v>177</v>
      </c>
      <c r="AC473" s="32">
        <v>69</v>
      </c>
      <c r="AD473" s="32">
        <v>91</v>
      </c>
      <c r="AE473" s="32">
        <v>68</v>
      </c>
      <c r="AF473" s="32">
        <v>40</v>
      </c>
      <c r="AG473" s="32">
        <v>445</v>
      </c>
      <c r="AH473" s="32">
        <v>245</v>
      </c>
      <c r="AI473" s="32">
        <v>109</v>
      </c>
      <c r="AJ473" s="32">
        <v>445</v>
      </c>
      <c r="AK473" s="32">
        <v>981</v>
      </c>
      <c r="AL473" s="32">
        <v>45.4</v>
      </c>
    </row>
    <row r="474" spans="1:38" ht="13.5" hidden="1" customHeight="1">
      <c r="A474" s="30" t="s">
        <v>2272</v>
      </c>
      <c r="B474" s="30" t="s">
        <v>2273</v>
      </c>
      <c r="C474" s="30" t="s">
        <v>235</v>
      </c>
      <c r="D474" s="30" t="s">
        <v>2012</v>
      </c>
      <c r="E474" s="30" t="s">
        <v>2036</v>
      </c>
      <c r="F474" s="30" t="s">
        <v>2037</v>
      </c>
      <c r="G474" s="30"/>
      <c r="H474" s="30" t="s">
        <v>2607</v>
      </c>
      <c r="I474" s="30" t="s">
        <v>2015</v>
      </c>
      <c r="J474" s="30" t="s">
        <v>2015</v>
      </c>
      <c r="K474" s="30" t="s">
        <v>2018</v>
      </c>
      <c r="L474" s="30" t="s">
        <v>2017</v>
      </c>
      <c r="M474" s="30" t="s">
        <v>2018</v>
      </c>
      <c r="N474" s="30" t="s">
        <v>2018</v>
      </c>
      <c r="O474" s="30" t="s">
        <v>2015</v>
      </c>
      <c r="P474" s="32">
        <v>2</v>
      </c>
      <c r="Q474" s="32">
        <v>11</v>
      </c>
      <c r="R474" s="32">
        <v>0</v>
      </c>
      <c r="S474" s="32">
        <v>0</v>
      </c>
      <c r="T474" s="32">
        <v>0</v>
      </c>
      <c r="U474" s="32">
        <v>0</v>
      </c>
      <c r="V474" s="32">
        <v>0</v>
      </c>
      <c r="W474" s="32">
        <v>0</v>
      </c>
      <c r="X474" s="32">
        <v>0</v>
      </c>
      <c r="Y474" s="32">
        <v>0</v>
      </c>
      <c r="Z474" s="32">
        <v>0</v>
      </c>
      <c r="AA474" s="32">
        <v>0</v>
      </c>
      <c r="AB474" s="32">
        <v>0</v>
      </c>
      <c r="AC474" s="32">
        <v>0</v>
      </c>
      <c r="AD474" s="32">
        <v>0</v>
      </c>
      <c r="AE474" s="32">
        <v>0</v>
      </c>
      <c r="AF474" s="32">
        <v>0</v>
      </c>
      <c r="AG474" s="32">
        <v>0</v>
      </c>
      <c r="AH474" s="32">
        <v>0</v>
      </c>
      <c r="AI474" s="32">
        <v>0</v>
      </c>
      <c r="AJ474" s="32">
        <v>0</v>
      </c>
      <c r="AK474" s="32">
        <v>0</v>
      </c>
      <c r="AL474" s="32">
        <v>0</v>
      </c>
    </row>
    <row r="475" spans="1:38" ht="13.5" hidden="1" customHeight="1">
      <c r="A475" s="30" t="s">
        <v>2272</v>
      </c>
      <c r="B475" s="30" t="s">
        <v>2273</v>
      </c>
      <c r="C475" s="30" t="s">
        <v>235</v>
      </c>
      <c r="D475" s="30" t="s">
        <v>2012</v>
      </c>
      <c r="E475" s="30" t="s">
        <v>2036</v>
      </c>
      <c r="F475" s="30" t="s">
        <v>2037</v>
      </c>
      <c r="G475" s="30"/>
      <c r="H475" s="30" t="s">
        <v>2608</v>
      </c>
      <c r="I475" s="30" t="s">
        <v>2015</v>
      </c>
      <c r="J475" s="30" t="s">
        <v>2015</v>
      </c>
      <c r="K475" s="30" t="s">
        <v>2038</v>
      </c>
      <c r="L475" s="30" t="s">
        <v>2017</v>
      </c>
      <c r="M475" s="30" t="s">
        <v>2018</v>
      </c>
      <c r="N475" s="30" t="s">
        <v>2038</v>
      </c>
      <c r="O475" s="30" t="s">
        <v>2039</v>
      </c>
      <c r="P475" s="32">
        <v>1744</v>
      </c>
      <c r="Q475" s="32">
        <v>767</v>
      </c>
      <c r="R475" s="32">
        <v>136</v>
      </c>
      <c r="S475" s="32">
        <v>72</v>
      </c>
      <c r="T475" s="32">
        <v>33</v>
      </c>
      <c r="U475" s="32">
        <v>137</v>
      </c>
      <c r="V475" s="32">
        <v>89</v>
      </c>
      <c r="W475" s="32">
        <v>51</v>
      </c>
      <c r="X475" s="32">
        <v>273</v>
      </c>
      <c r="Y475" s="32">
        <v>161</v>
      </c>
      <c r="Z475" s="32">
        <v>84</v>
      </c>
      <c r="AA475" s="32">
        <v>398</v>
      </c>
      <c r="AB475" s="32">
        <v>211</v>
      </c>
      <c r="AC475" s="32">
        <v>97</v>
      </c>
      <c r="AD475" s="32">
        <v>178</v>
      </c>
      <c r="AE475" s="32">
        <v>116</v>
      </c>
      <c r="AF475" s="32">
        <v>66</v>
      </c>
      <c r="AG475" s="32">
        <v>576</v>
      </c>
      <c r="AH475" s="32">
        <v>327</v>
      </c>
      <c r="AI475" s="32">
        <v>163</v>
      </c>
      <c r="AJ475" s="32">
        <v>576</v>
      </c>
      <c r="AK475" s="32">
        <v>1737</v>
      </c>
      <c r="AL475" s="32">
        <v>33.200000000000003</v>
      </c>
    </row>
    <row r="476" spans="1:38" ht="13.5" hidden="1" customHeight="1">
      <c r="A476" s="30" t="s">
        <v>2272</v>
      </c>
      <c r="B476" s="30" t="s">
        <v>2273</v>
      </c>
      <c r="C476" s="30" t="s">
        <v>235</v>
      </c>
      <c r="D476" s="30" t="s">
        <v>2012</v>
      </c>
      <c r="E476" s="30" t="s">
        <v>2036</v>
      </c>
      <c r="F476" s="30" t="s">
        <v>2037</v>
      </c>
      <c r="G476" s="30"/>
      <c r="H476" s="30" t="s">
        <v>2609</v>
      </c>
      <c r="I476" s="30" t="s">
        <v>2015</v>
      </c>
      <c r="J476" s="30" t="s">
        <v>2015</v>
      </c>
      <c r="K476" s="30" t="s">
        <v>2018</v>
      </c>
      <c r="L476" s="30" t="s">
        <v>2017</v>
      </c>
      <c r="M476" s="30" t="s">
        <v>2018</v>
      </c>
      <c r="N476" s="30" t="s">
        <v>2018</v>
      </c>
      <c r="O476" s="30" t="s">
        <v>2015</v>
      </c>
      <c r="P476" s="32">
        <v>82</v>
      </c>
      <c r="Q476" s="32">
        <v>41</v>
      </c>
      <c r="R476" s="32">
        <v>17</v>
      </c>
      <c r="S476" s="32">
        <v>10</v>
      </c>
      <c r="T476" s="32">
        <v>2</v>
      </c>
      <c r="U476" s="32">
        <v>4</v>
      </c>
      <c r="V476" s="32">
        <v>4</v>
      </c>
      <c r="W476" s="32">
        <v>2</v>
      </c>
      <c r="X476" s="32">
        <v>21</v>
      </c>
      <c r="Y476" s="32">
        <v>14</v>
      </c>
      <c r="Z476" s="32">
        <v>4</v>
      </c>
      <c r="AA476" s="32">
        <v>51</v>
      </c>
      <c r="AB476" s="32">
        <v>30</v>
      </c>
      <c r="AC476" s="32">
        <v>6</v>
      </c>
      <c r="AD476" s="32">
        <v>4</v>
      </c>
      <c r="AE476" s="32">
        <v>4</v>
      </c>
      <c r="AF476" s="32">
        <v>2</v>
      </c>
      <c r="AG476" s="32">
        <v>55</v>
      </c>
      <c r="AH476" s="32">
        <v>34</v>
      </c>
      <c r="AI476" s="32">
        <v>8</v>
      </c>
      <c r="AJ476" s="32">
        <v>55</v>
      </c>
      <c r="AK476" s="32">
        <v>78</v>
      </c>
      <c r="AL476" s="32">
        <v>70.5</v>
      </c>
    </row>
    <row r="477" spans="1:38" ht="13.5" hidden="1" customHeight="1">
      <c r="A477" s="30" t="s">
        <v>2272</v>
      </c>
      <c r="B477" s="30" t="s">
        <v>2273</v>
      </c>
      <c r="C477" s="30" t="s">
        <v>235</v>
      </c>
      <c r="D477" s="30" t="s">
        <v>2012</v>
      </c>
      <c r="E477" s="30" t="s">
        <v>2036</v>
      </c>
      <c r="F477" s="30" t="s">
        <v>2037</v>
      </c>
      <c r="G477" s="30"/>
      <c r="H477" s="30" t="s">
        <v>2610</v>
      </c>
      <c r="I477" s="30" t="s">
        <v>2015</v>
      </c>
      <c r="J477" s="30" t="s">
        <v>2015</v>
      </c>
      <c r="K477" s="30" t="s">
        <v>2018</v>
      </c>
      <c r="L477" s="30" t="s">
        <v>2017</v>
      </c>
      <c r="M477" s="30" t="s">
        <v>2018</v>
      </c>
      <c r="N477" s="30" t="s">
        <v>2018</v>
      </c>
      <c r="O477" s="30" t="s">
        <v>2015</v>
      </c>
      <c r="P477" s="32">
        <v>0</v>
      </c>
      <c r="Q477" s="32">
        <v>28</v>
      </c>
      <c r="R477" s="32">
        <v>0</v>
      </c>
      <c r="S477" s="32">
        <v>0</v>
      </c>
      <c r="T477" s="32">
        <v>0</v>
      </c>
      <c r="U477" s="32">
        <v>0</v>
      </c>
      <c r="V477" s="32">
        <v>0</v>
      </c>
      <c r="W477" s="32">
        <v>0</v>
      </c>
      <c r="X477" s="32">
        <v>0</v>
      </c>
      <c r="Y477" s="32">
        <v>0</v>
      </c>
      <c r="Z477" s="32">
        <v>0</v>
      </c>
      <c r="AA477" s="32">
        <v>0</v>
      </c>
      <c r="AB477" s="32">
        <v>0</v>
      </c>
      <c r="AC477" s="32">
        <v>0</v>
      </c>
      <c r="AD477" s="32">
        <v>0</v>
      </c>
      <c r="AE477" s="32">
        <v>0</v>
      </c>
      <c r="AF477" s="32">
        <v>0</v>
      </c>
      <c r="AG477" s="32">
        <v>0</v>
      </c>
      <c r="AH477" s="32">
        <v>0</v>
      </c>
      <c r="AI477" s="32">
        <v>0</v>
      </c>
      <c r="AJ477" s="32">
        <v>0</v>
      </c>
      <c r="AK477" s="32">
        <v>0</v>
      </c>
      <c r="AL477" s="32">
        <v>0</v>
      </c>
    </row>
    <row r="478" spans="1:38" ht="13.5" hidden="1" customHeight="1">
      <c r="A478" s="30" t="s">
        <v>2272</v>
      </c>
      <c r="B478" s="30" t="s">
        <v>2273</v>
      </c>
      <c r="C478" s="30" t="s">
        <v>235</v>
      </c>
      <c r="D478" s="30" t="s">
        <v>2012</v>
      </c>
      <c r="E478" s="30" t="s">
        <v>2036</v>
      </c>
      <c r="F478" s="30" t="s">
        <v>2037</v>
      </c>
      <c r="G478" s="30"/>
      <c r="H478" s="30" t="s">
        <v>2611</v>
      </c>
      <c r="I478" s="30" t="s">
        <v>2015</v>
      </c>
      <c r="J478" s="30" t="s">
        <v>2015</v>
      </c>
      <c r="K478" s="30" t="s">
        <v>2018</v>
      </c>
      <c r="L478" s="30" t="s">
        <v>2017</v>
      </c>
      <c r="M478" s="30" t="s">
        <v>2018</v>
      </c>
      <c r="N478" s="30" t="s">
        <v>2018</v>
      </c>
      <c r="O478" s="30" t="s">
        <v>2015</v>
      </c>
      <c r="P478" s="32">
        <v>420</v>
      </c>
      <c r="Q478" s="32">
        <v>193</v>
      </c>
      <c r="R478" s="32">
        <v>59</v>
      </c>
      <c r="S478" s="32">
        <v>31</v>
      </c>
      <c r="T478" s="32">
        <v>12</v>
      </c>
      <c r="U478" s="32">
        <v>30</v>
      </c>
      <c r="V478" s="32">
        <v>17</v>
      </c>
      <c r="W478" s="32">
        <v>2</v>
      </c>
      <c r="X478" s="32">
        <v>89</v>
      </c>
      <c r="Y478" s="32">
        <v>48</v>
      </c>
      <c r="Z478" s="32">
        <v>14</v>
      </c>
      <c r="AA478" s="32">
        <v>171</v>
      </c>
      <c r="AB478" s="32">
        <v>90</v>
      </c>
      <c r="AC478" s="32">
        <v>35</v>
      </c>
      <c r="AD478" s="32">
        <v>33</v>
      </c>
      <c r="AE478" s="32">
        <v>19</v>
      </c>
      <c r="AF478" s="32">
        <v>2</v>
      </c>
      <c r="AG478" s="32">
        <v>204</v>
      </c>
      <c r="AH478" s="32">
        <v>109</v>
      </c>
      <c r="AI478" s="32">
        <v>37</v>
      </c>
      <c r="AJ478" s="32">
        <v>204</v>
      </c>
      <c r="AK478" s="32">
        <v>422</v>
      </c>
      <c r="AL478" s="32">
        <v>48.3</v>
      </c>
    </row>
    <row r="479" spans="1:38" ht="13.5" hidden="1" customHeight="1">
      <c r="A479" s="30" t="s">
        <v>2272</v>
      </c>
      <c r="B479" s="30" t="s">
        <v>2273</v>
      </c>
      <c r="C479" s="30" t="s">
        <v>235</v>
      </c>
      <c r="D479" s="30" t="s">
        <v>2012</v>
      </c>
      <c r="E479" s="30" t="s">
        <v>2036</v>
      </c>
      <c r="F479" s="30" t="s">
        <v>2037</v>
      </c>
      <c r="G479" s="30"/>
      <c r="H479" s="30" t="s">
        <v>2612</v>
      </c>
      <c r="I479" s="30" t="s">
        <v>2015</v>
      </c>
      <c r="J479" s="30" t="s">
        <v>2015</v>
      </c>
      <c r="K479" s="30" t="s">
        <v>2018</v>
      </c>
      <c r="L479" s="30" t="s">
        <v>2017</v>
      </c>
      <c r="M479" s="30" t="s">
        <v>2018</v>
      </c>
      <c r="N479" s="30" t="s">
        <v>2018</v>
      </c>
      <c r="O479" s="30" t="s">
        <v>2015</v>
      </c>
      <c r="P479" s="32">
        <v>286</v>
      </c>
      <c r="Q479" s="32">
        <v>125</v>
      </c>
      <c r="R479" s="32">
        <v>30</v>
      </c>
      <c r="S479" s="32">
        <v>18</v>
      </c>
      <c r="T479" s="32">
        <v>5</v>
      </c>
      <c r="U479" s="32">
        <v>17</v>
      </c>
      <c r="V479" s="32">
        <v>7</v>
      </c>
      <c r="W479" s="32">
        <v>0</v>
      </c>
      <c r="X479" s="32">
        <v>47</v>
      </c>
      <c r="Y479" s="32">
        <v>25</v>
      </c>
      <c r="Z479" s="32">
        <v>5</v>
      </c>
      <c r="AA479" s="32">
        <v>96</v>
      </c>
      <c r="AB479" s="32">
        <v>58</v>
      </c>
      <c r="AC479" s="32">
        <v>16</v>
      </c>
      <c r="AD479" s="32">
        <v>22</v>
      </c>
      <c r="AE479" s="32">
        <v>9</v>
      </c>
      <c r="AF479" s="32">
        <v>0</v>
      </c>
      <c r="AG479" s="32">
        <v>118</v>
      </c>
      <c r="AH479" s="32">
        <v>67</v>
      </c>
      <c r="AI479" s="32">
        <v>16</v>
      </c>
      <c r="AJ479" s="32">
        <v>118</v>
      </c>
      <c r="AK479" s="32">
        <v>253</v>
      </c>
      <c r="AL479" s="32">
        <v>46.6</v>
      </c>
    </row>
    <row r="480" spans="1:38" ht="13.5" hidden="1" customHeight="1">
      <c r="A480" s="30" t="s">
        <v>2272</v>
      </c>
      <c r="B480" s="30" t="s">
        <v>2273</v>
      </c>
      <c r="C480" s="30" t="s">
        <v>235</v>
      </c>
      <c r="D480" s="30" t="s">
        <v>2012</v>
      </c>
      <c r="E480" s="30" t="s">
        <v>2040</v>
      </c>
      <c r="F480" s="30" t="s">
        <v>2041</v>
      </c>
      <c r="G480" s="30"/>
      <c r="H480" s="30" t="s">
        <v>2613</v>
      </c>
      <c r="I480" s="30" t="s">
        <v>2015</v>
      </c>
      <c r="J480" s="30" t="s">
        <v>2015</v>
      </c>
      <c r="K480" s="30" t="s">
        <v>2018</v>
      </c>
      <c r="L480" s="30" t="s">
        <v>2017</v>
      </c>
      <c r="M480" s="30" t="s">
        <v>2018</v>
      </c>
      <c r="N480" s="30" t="s">
        <v>2018</v>
      </c>
      <c r="O480" s="30" t="s">
        <v>2015</v>
      </c>
      <c r="P480" s="32">
        <v>630</v>
      </c>
      <c r="Q480" s="32">
        <v>461</v>
      </c>
      <c r="R480" s="32">
        <v>60</v>
      </c>
      <c r="S480" s="32">
        <v>34</v>
      </c>
      <c r="T480" s="32">
        <v>9</v>
      </c>
      <c r="U480" s="32">
        <v>40</v>
      </c>
      <c r="V480" s="32">
        <v>33</v>
      </c>
      <c r="W480" s="32">
        <v>21</v>
      </c>
      <c r="X480" s="32">
        <v>100</v>
      </c>
      <c r="Y480" s="32">
        <v>67</v>
      </c>
      <c r="Z480" s="32">
        <v>30</v>
      </c>
      <c r="AA480" s="32">
        <v>174</v>
      </c>
      <c r="AB480" s="32">
        <v>99</v>
      </c>
      <c r="AC480" s="32">
        <v>26</v>
      </c>
      <c r="AD480" s="32">
        <v>52</v>
      </c>
      <c r="AE480" s="32">
        <v>43</v>
      </c>
      <c r="AF480" s="32">
        <v>27</v>
      </c>
      <c r="AG480" s="32">
        <v>226</v>
      </c>
      <c r="AH480" s="32">
        <v>142</v>
      </c>
      <c r="AI480" s="32">
        <v>53</v>
      </c>
      <c r="AJ480" s="32">
        <v>226</v>
      </c>
      <c r="AK480" s="32">
        <v>628</v>
      </c>
      <c r="AL480" s="32">
        <v>36</v>
      </c>
    </row>
    <row r="481" spans="1:38" ht="13.5" hidden="1" customHeight="1">
      <c r="A481" s="30" t="s">
        <v>2272</v>
      </c>
      <c r="B481" s="30" t="s">
        <v>2273</v>
      </c>
      <c r="C481" s="30" t="s">
        <v>235</v>
      </c>
      <c r="D481" s="30" t="s">
        <v>2012</v>
      </c>
      <c r="E481" s="30" t="s">
        <v>2040</v>
      </c>
      <c r="F481" s="30" t="s">
        <v>2041</v>
      </c>
      <c r="G481" s="30"/>
      <c r="H481" s="30" t="s">
        <v>2614</v>
      </c>
      <c r="I481" s="30" t="s">
        <v>2015</v>
      </c>
      <c r="J481" s="30" t="s">
        <v>2015</v>
      </c>
      <c r="K481" s="30" t="s">
        <v>2018</v>
      </c>
      <c r="L481" s="30" t="s">
        <v>2017</v>
      </c>
      <c r="M481" s="30" t="s">
        <v>2018</v>
      </c>
      <c r="N481" s="30" t="s">
        <v>2018</v>
      </c>
      <c r="O481" s="30" t="s">
        <v>2015</v>
      </c>
      <c r="P481" s="32">
        <v>323</v>
      </c>
      <c r="Q481" s="32">
        <v>198</v>
      </c>
      <c r="R481" s="32">
        <v>43</v>
      </c>
      <c r="S481" s="32">
        <v>19</v>
      </c>
      <c r="T481" s="32">
        <v>5</v>
      </c>
      <c r="U481" s="32">
        <v>28</v>
      </c>
      <c r="V481" s="32">
        <v>15</v>
      </c>
      <c r="W481" s="32">
        <v>13</v>
      </c>
      <c r="X481" s="32">
        <v>71</v>
      </c>
      <c r="Y481" s="32">
        <v>34</v>
      </c>
      <c r="Z481" s="32">
        <v>18</v>
      </c>
      <c r="AA481" s="32">
        <v>116</v>
      </c>
      <c r="AB481" s="32">
        <v>51</v>
      </c>
      <c r="AC481" s="32">
        <v>14</v>
      </c>
      <c r="AD481" s="32">
        <v>42</v>
      </c>
      <c r="AE481" s="32">
        <v>23</v>
      </c>
      <c r="AF481" s="32">
        <v>20</v>
      </c>
      <c r="AG481" s="32">
        <v>158</v>
      </c>
      <c r="AH481" s="32">
        <v>74</v>
      </c>
      <c r="AI481" s="32">
        <v>34</v>
      </c>
      <c r="AJ481" s="32">
        <v>158</v>
      </c>
      <c r="AK481" s="32">
        <v>334</v>
      </c>
      <c r="AL481" s="32">
        <v>47.3</v>
      </c>
    </row>
    <row r="482" spans="1:38" ht="13.5" hidden="1" customHeight="1">
      <c r="A482" s="30" t="s">
        <v>2272</v>
      </c>
      <c r="B482" s="30" t="s">
        <v>2273</v>
      </c>
      <c r="C482" s="30" t="s">
        <v>235</v>
      </c>
      <c r="D482" s="30" t="s">
        <v>2012</v>
      </c>
      <c r="E482" s="30" t="s">
        <v>2040</v>
      </c>
      <c r="F482" s="30" t="s">
        <v>2041</v>
      </c>
      <c r="G482" s="30"/>
      <c r="H482" s="30" t="s">
        <v>2615</v>
      </c>
      <c r="I482" s="30" t="s">
        <v>2015</v>
      </c>
      <c r="J482" s="30" t="s">
        <v>2015</v>
      </c>
      <c r="K482" s="30" t="s">
        <v>2018</v>
      </c>
      <c r="L482" s="30" t="s">
        <v>2017</v>
      </c>
      <c r="M482" s="30" t="s">
        <v>2018</v>
      </c>
      <c r="N482" s="30" t="s">
        <v>2018</v>
      </c>
      <c r="O482" s="30" t="s">
        <v>2015</v>
      </c>
      <c r="P482" s="32">
        <v>91</v>
      </c>
      <c r="Q482" s="32">
        <v>224</v>
      </c>
      <c r="R482" s="32">
        <v>23</v>
      </c>
      <c r="S482" s="32">
        <v>11</v>
      </c>
      <c r="T482" s="32">
        <v>5</v>
      </c>
      <c r="U482" s="32">
        <v>13</v>
      </c>
      <c r="V482" s="32">
        <v>9</v>
      </c>
      <c r="W482" s="32">
        <v>8</v>
      </c>
      <c r="X482" s="32">
        <v>36</v>
      </c>
      <c r="Y482" s="32">
        <v>20</v>
      </c>
      <c r="Z482" s="32">
        <v>13</v>
      </c>
      <c r="AA482" s="32">
        <v>53</v>
      </c>
      <c r="AB482" s="32">
        <v>25</v>
      </c>
      <c r="AC482" s="32">
        <v>12</v>
      </c>
      <c r="AD482" s="32">
        <v>13</v>
      </c>
      <c r="AE482" s="32">
        <v>9</v>
      </c>
      <c r="AF482" s="32">
        <v>8</v>
      </c>
      <c r="AG482" s="32">
        <v>66</v>
      </c>
      <c r="AH482" s="32">
        <v>34</v>
      </c>
      <c r="AI482" s="32">
        <v>20</v>
      </c>
      <c r="AJ482" s="32">
        <v>66</v>
      </c>
      <c r="AK482" s="32">
        <v>91</v>
      </c>
      <c r="AL482" s="32">
        <v>72.5</v>
      </c>
    </row>
    <row r="483" spans="1:38" ht="13.5" hidden="1" customHeight="1">
      <c r="A483" s="30" t="s">
        <v>2272</v>
      </c>
      <c r="B483" s="30" t="s">
        <v>2273</v>
      </c>
      <c r="C483" s="30" t="s">
        <v>235</v>
      </c>
      <c r="D483" s="30" t="s">
        <v>2012</v>
      </c>
      <c r="E483" s="30" t="s">
        <v>2040</v>
      </c>
      <c r="F483" s="30" t="s">
        <v>2041</v>
      </c>
      <c r="G483" s="30"/>
      <c r="H483" s="30" t="s">
        <v>2616</v>
      </c>
      <c r="I483" s="30" t="s">
        <v>2015</v>
      </c>
      <c r="J483" s="30" t="s">
        <v>2015</v>
      </c>
      <c r="K483" s="30" t="s">
        <v>2018</v>
      </c>
      <c r="L483" s="30" t="s">
        <v>2017</v>
      </c>
      <c r="M483" s="30" t="s">
        <v>2018</v>
      </c>
      <c r="N483" s="30" t="s">
        <v>2018</v>
      </c>
      <c r="O483" s="30" t="s">
        <v>2015</v>
      </c>
      <c r="P483" s="32">
        <v>83</v>
      </c>
      <c r="Q483" s="32">
        <v>148</v>
      </c>
      <c r="R483" s="32">
        <v>6</v>
      </c>
      <c r="S483" s="32">
        <v>6</v>
      </c>
      <c r="T483" s="32">
        <v>2</v>
      </c>
      <c r="U483" s="32">
        <v>27</v>
      </c>
      <c r="V483" s="32">
        <v>21</v>
      </c>
      <c r="W483" s="32">
        <v>19</v>
      </c>
      <c r="X483" s="32">
        <v>33</v>
      </c>
      <c r="Y483" s="32">
        <v>27</v>
      </c>
      <c r="Z483" s="32">
        <v>21</v>
      </c>
      <c r="AA483" s="32">
        <v>15</v>
      </c>
      <c r="AB483" s="32">
        <v>15</v>
      </c>
      <c r="AC483" s="32">
        <v>5</v>
      </c>
      <c r="AD483" s="32">
        <v>30</v>
      </c>
      <c r="AE483" s="32">
        <v>23</v>
      </c>
      <c r="AF483" s="32">
        <v>21</v>
      </c>
      <c r="AG483" s="32">
        <v>45</v>
      </c>
      <c r="AH483" s="32">
        <v>38</v>
      </c>
      <c r="AI483" s="32">
        <v>26</v>
      </c>
      <c r="AJ483" s="32">
        <v>45</v>
      </c>
      <c r="AK483" s="32">
        <v>78</v>
      </c>
      <c r="AL483" s="32">
        <v>57.7</v>
      </c>
    </row>
    <row r="484" spans="1:38" ht="13.5" hidden="1" customHeight="1">
      <c r="A484" s="30" t="s">
        <v>2272</v>
      </c>
      <c r="B484" s="30" t="s">
        <v>2273</v>
      </c>
      <c r="C484" s="30" t="s">
        <v>235</v>
      </c>
      <c r="D484" s="30" t="s">
        <v>2012</v>
      </c>
      <c r="E484" s="30" t="s">
        <v>2040</v>
      </c>
      <c r="F484" s="30" t="s">
        <v>2041</v>
      </c>
      <c r="G484" s="30"/>
      <c r="H484" s="30" t="s">
        <v>2617</v>
      </c>
      <c r="I484" s="30" t="s">
        <v>2015</v>
      </c>
      <c r="J484" s="30" t="s">
        <v>2015</v>
      </c>
      <c r="K484" s="30" t="s">
        <v>2018</v>
      </c>
      <c r="L484" s="30" t="s">
        <v>2017</v>
      </c>
      <c r="M484" s="30" t="s">
        <v>2018</v>
      </c>
      <c r="N484" s="30" t="s">
        <v>2018</v>
      </c>
      <c r="O484" s="30" t="s">
        <v>2015</v>
      </c>
      <c r="P484" s="32">
        <v>123</v>
      </c>
      <c r="Q484" s="32">
        <v>327</v>
      </c>
      <c r="R484" s="32">
        <v>19</v>
      </c>
      <c r="S484" s="32">
        <v>10</v>
      </c>
      <c r="T484" s="32">
        <v>4</v>
      </c>
      <c r="U484" s="32">
        <v>6</v>
      </c>
      <c r="V484" s="32">
        <v>6</v>
      </c>
      <c r="W484" s="32">
        <v>5</v>
      </c>
      <c r="X484" s="32">
        <v>25</v>
      </c>
      <c r="Y484" s="32">
        <v>16</v>
      </c>
      <c r="Z484" s="32">
        <v>9</v>
      </c>
      <c r="AA484" s="32">
        <v>46</v>
      </c>
      <c r="AB484" s="32">
        <v>24</v>
      </c>
      <c r="AC484" s="32">
        <v>10</v>
      </c>
      <c r="AD484" s="32">
        <v>6</v>
      </c>
      <c r="AE484" s="32">
        <v>6</v>
      </c>
      <c r="AF484" s="32">
        <v>5</v>
      </c>
      <c r="AG484" s="32">
        <v>52</v>
      </c>
      <c r="AH484" s="32">
        <v>30</v>
      </c>
      <c r="AI484" s="32">
        <v>15</v>
      </c>
      <c r="AJ484" s="32">
        <v>52</v>
      </c>
      <c r="AK484" s="32">
        <v>107</v>
      </c>
      <c r="AL484" s="32">
        <v>48.6</v>
      </c>
    </row>
    <row r="485" spans="1:38" ht="13.5" hidden="1" customHeight="1">
      <c r="A485" s="30" t="s">
        <v>2272</v>
      </c>
      <c r="B485" s="30" t="s">
        <v>2273</v>
      </c>
      <c r="C485" s="30" t="s">
        <v>235</v>
      </c>
      <c r="D485" s="30" t="s">
        <v>2012</v>
      </c>
      <c r="E485" s="30" t="s">
        <v>2040</v>
      </c>
      <c r="F485" s="30" t="s">
        <v>2041</v>
      </c>
      <c r="G485" s="30"/>
      <c r="H485" s="30" t="s">
        <v>2618</v>
      </c>
      <c r="I485" s="30" t="s">
        <v>2015</v>
      </c>
      <c r="J485" s="30" t="s">
        <v>2015</v>
      </c>
      <c r="K485" s="30" t="s">
        <v>2018</v>
      </c>
      <c r="L485" s="30" t="s">
        <v>2017</v>
      </c>
      <c r="M485" s="30" t="s">
        <v>2018</v>
      </c>
      <c r="N485" s="30" t="s">
        <v>2018</v>
      </c>
      <c r="O485" s="30" t="s">
        <v>2015</v>
      </c>
      <c r="P485" s="32">
        <v>1259</v>
      </c>
      <c r="Q485" s="32">
        <v>726</v>
      </c>
      <c r="R485" s="32">
        <v>153</v>
      </c>
      <c r="S485" s="32">
        <v>83</v>
      </c>
      <c r="T485" s="32">
        <v>43</v>
      </c>
      <c r="U485" s="32">
        <v>145</v>
      </c>
      <c r="V485" s="32">
        <v>106</v>
      </c>
      <c r="W485" s="32">
        <v>60</v>
      </c>
      <c r="X485" s="32">
        <v>298</v>
      </c>
      <c r="Y485" s="32">
        <v>189</v>
      </c>
      <c r="Z485" s="32">
        <v>103</v>
      </c>
      <c r="AA485" s="32">
        <v>444</v>
      </c>
      <c r="AB485" s="32">
        <v>241</v>
      </c>
      <c r="AC485" s="32">
        <v>125</v>
      </c>
      <c r="AD485" s="32">
        <v>160</v>
      </c>
      <c r="AE485" s="32">
        <v>117</v>
      </c>
      <c r="AF485" s="32">
        <v>66</v>
      </c>
      <c r="AG485" s="32">
        <v>604</v>
      </c>
      <c r="AH485" s="32">
        <v>358</v>
      </c>
      <c r="AI485" s="32">
        <v>191</v>
      </c>
      <c r="AJ485" s="32">
        <v>604</v>
      </c>
      <c r="AK485" s="32">
        <v>1271</v>
      </c>
      <c r="AL485" s="32">
        <v>47.5</v>
      </c>
    </row>
    <row r="486" spans="1:38" ht="13.5" hidden="1" customHeight="1">
      <c r="A486" s="30" t="s">
        <v>2272</v>
      </c>
      <c r="B486" s="30" t="s">
        <v>2273</v>
      </c>
      <c r="C486" s="30" t="s">
        <v>235</v>
      </c>
      <c r="D486" s="30" t="s">
        <v>2012</v>
      </c>
      <c r="E486" s="30" t="s">
        <v>2040</v>
      </c>
      <c r="F486" s="30" t="s">
        <v>2041</v>
      </c>
      <c r="G486" s="30"/>
      <c r="H486" s="30" t="s">
        <v>2619</v>
      </c>
      <c r="I486" s="30" t="s">
        <v>2015</v>
      </c>
      <c r="J486" s="30" t="s">
        <v>2015</v>
      </c>
      <c r="K486" s="30" t="s">
        <v>2018</v>
      </c>
      <c r="L486" s="30" t="s">
        <v>2017</v>
      </c>
      <c r="M486" s="30" t="s">
        <v>2018</v>
      </c>
      <c r="N486" s="30" t="s">
        <v>2018</v>
      </c>
      <c r="O486" s="30" t="s">
        <v>2015</v>
      </c>
      <c r="P486" s="32">
        <v>4211</v>
      </c>
      <c r="Q486" s="32">
        <v>2200</v>
      </c>
      <c r="R486" s="32">
        <v>497</v>
      </c>
      <c r="S486" s="32">
        <v>261</v>
      </c>
      <c r="T486" s="32">
        <v>123</v>
      </c>
      <c r="U486" s="32">
        <v>375</v>
      </c>
      <c r="V486" s="32">
        <v>248</v>
      </c>
      <c r="W486" s="32">
        <v>125</v>
      </c>
      <c r="X486" s="32">
        <v>872</v>
      </c>
      <c r="Y486" s="32">
        <v>509</v>
      </c>
      <c r="Z486" s="32">
        <v>248</v>
      </c>
      <c r="AA486" s="32">
        <v>1481</v>
      </c>
      <c r="AB486" s="32">
        <v>775</v>
      </c>
      <c r="AC486" s="32">
        <v>371</v>
      </c>
      <c r="AD486" s="32">
        <v>443</v>
      </c>
      <c r="AE486" s="32">
        <v>292</v>
      </c>
      <c r="AF486" s="32">
        <v>146</v>
      </c>
      <c r="AG486" s="32">
        <v>1924</v>
      </c>
      <c r="AH486" s="32">
        <v>1067</v>
      </c>
      <c r="AI486" s="32">
        <v>517</v>
      </c>
      <c r="AJ486" s="32">
        <v>1924</v>
      </c>
      <c r="AK486" s="32">
        <v>4055</v>
      </c>
      <c r="AL486" s="32">
        <v>47.4</v>
      </c>
    </row>
    <row r="487" spans="1:38" ht="13.5" hidden="1" customHeight="1">
      <c r="A487" s="30" t="s">
        <v>2272</v>
      </c>
      <c r="B487" s="30" t="s">
        <v>2273</v>
      </c>
      <c r="C487" s="30" t="s">
        <v>235</v>
      </c>
      <c r="D487" s="30" t="s">
        <v>2012</v>
      </c>
      <c r="E487" s="30" t="s">
        <v>2040</v>
      </c>
      <c r="F487" s="30" t="s">
        <v>2041</v>
      </c>
      <c r="G487" s="30"/>
      <c r="H487" s="30" t="s">
        <v>2620</v>
      </c>
      <c r="I487" s="30" t="s">
        <v>2015</v>
      </c>
      <c r="J487" s="30" t="s">
        <v>2015</v>
      </c>
      <c r="K487" s="30" t="s">
        <v>2018</v>
      </c>
      <c r="L487" s="30" t="s">
        <v>2017</v>
      </c>
      <c r="M487" s="30" t="s">
        <v>2018</v>
      </c>
      <c r="N487" s="30" t="s">
        <v>2018</v>
      </c>
      <c r="O487" s="30" t="s">
        <v>2015</v>
      </c>
      <c r="P487" s="32">
        <v>1623</v>
      </c>
      <c r="Q487" s="32">
        <v>1378</v>
      </c>
      <c r="R487" s="32">
        <v>161</v>
      </c>
      <c r="S487" s="32">
        <v>96</v>
      </c>
      <c r="T487" s="32">
        <v>30</v>
      </c>
      <c r="U487" s="32">
        <v>198</v>
      </c>
      <c r="V487" s="32">
        <v>144</v>
      </c>
      <c r="W487" s="32">
        <v>80</v>
      </c>
      <c r="X487" s="32">
        <v>359</v>
      </c>
      <c r="Y487" s="32">
        <v>240</v>
      </c>
      <c r="Z487" s="32">
        <v>110</v>
      </c>
      <c r="AA487" s="32">
        <v>460</v>
      </c>
      <c r="AB487" s="32">
        <v>275</v>
      </c>
      <c r="AC487" s="32">
        <v>86</v>
      </c>
      <c r="AD487" s="32">
        <v>221</v>
      </c>
      <c r="AE487" s="32">
        <v>160</v>
      </c>
      <c r="AF487" s="32">
        <v>89</v>
      </c>
      <c r="AG487" s="32">
        <v>681</v>
      </c>
      <c r="AH487" s="32">
        <v>435</v>
      </c>
      <c r="AI487" s="32">
        <v>175</v>
      </c>
      <c r="AJ487" s="32">
        <v>681</v>
      </c>
      <c r="AK487" s="32">
        <v>1610</v>
      </c>
      <c r="AL487" s="32">
        <v>42.3</v>
      </c>
    </row>
    <row r="488" spans="1:38" ht="13.5" hidden="1" customHeight="1">
      <c r="A488" s="30" t="s">
        <v>2272</v>
      </c>
      <c r="B488" s="30" t="s">
        <v>2273</v>
      </c>
      <c r="C488" s="30" t="s">
        <v>235</v>
      </c>
      <c r="D488" s="30" t="s">
        <v>2012</v>
      </c>
      <c r="E488" s="30" t="s">
        <v>2040</v>
      </c>
      <c r="F488" s="30" t="s">
        <v>2041</v>
      </c>
      <c r="G488" s="30"/>
      <c r="H488" s="30" t="s">
        <v>2621</v>
      </c>
      <c r="I488" s="30" t="s">
        <v>2015</v>
      </c>
      <c r="J488" s="30" t="s">
        <v>2015</v>
      </c>
      <c r="K488" s="30" t="s">
        <v>2018</v>
      </c>
      <c r="L488" s="30" t="s">
        <v>2017</v>
      </c>
      <c r="M488" s="30" t="s">
        <v>2018</v>
      </c>
      <c r="N488" s="30" t="s">
        <v>2018</v>
      </c>
      <c r="O488" s="30" t="s">
        <v>2015</v>
      </c>
      <c r="P488" s="32">
        <v>1531</v>
      </c>
      <c r="Q488" s="32">
        <v>857</v>
      </c>
      <c r="R488" s="32">
        <v>194</v>
      </c>
      <c r="S488" s="32">
        <v>94</v>
      </c>
      <c r="T488" s="32">
        <v>47</v>
      </c>
      <c r="U488" s="32">
        <v>158</v>
      </c>
      <c r="V488" s="32">
        <v>119</v>
      </c>
      <c r="W488" s="32">
        <v>73</v>
      </c>
      <c r="X488" s="32">
        <v>352</v>
      </c>
      <c r="Y488" s="32">
        <v>213</v>
      </c>
      <c r="Z488" s="32">
        <v>120</v>
      </c>
      <c r="AA488" s="32">
        <v>546</v>
      </c>
      <c r="AB488" s="32">
        <v>265</v>
      </c>
      <c r="AC488" s="32">
        <v>132</v>
      </c>
      <c r="AD488" s="32">
        <v>193</v>
      </c>
      <c r="AE488" s="32">
        <v>145</v>
      </c>
      <c r="AF488" s="32">
        <v>89</v>
      </c>
      <c r="AG488" s="32">
        <v>739</v>
      </c>
      <c r="AH488" s="32">
        <v>410</v>
      </c>
      <c r="AI488" s="32">
        <v>221</v>
      </c>
      <c r="AJ488" s="32">
        <v>739</v>
      </c>
      <c r="AK488" s="32">
        <v>1531</v>
      </c>
      <c r="AL488" s="32">
        <v>48.3</v>
      </c>
    </row>
    <row r="489" spans="1:38" ht="13.5" hidden="1" customHeight="1">
      <c r="A489" s="30" t="s">
        <v>2272</v>
      </c>
      <c r="B489" s="30" t="s">
        <v>2273</v>
      </c>
      <c r="C489" s="30" t="s">
        <v>235</v>
      </c>
      <c r="D489" s="30" t="s">
        <v>2012</v>
      </c>
      <c r="E489" s="30" t="s">
        <v>2040</v>
      </c>
      <c r="F489" s="30" t="s">
        <v>2041</v>
      </c>
      <c r="G489" s="30"/>
      <c r="H489" s="30" t="s">
        <v>2622</v>
      </c>
      <c r="I489" s="30" t="s">
        <v>2015</v>
      </c>
      <c r="J489" s="30" t="s">
        <v>2015</v>
      </c>
      <c r="K489" s="30" t="s">
        <v>2018</v>
      </c>
      <c r="L489" s="30" t="s">
        <v>2017</v>
      </c>
      <c r="M489" s="30" t="s">
        <v>2018</v>
      </c>
      <c r="N489" s="30" t="s">
        <v>2018</v>
      </c>
      <c r="O489" s="30" t="s">
        <v>2015</v>
      </c>
      <c r="P489" s="32">
        <v>9</v>
      </c>
      <c r="Q489" s="32">
        <v>139</v>
      </c>
      <c r="R489" s="32">
        <v>0</v>
      </c>
      <c r="S489" s="32">
        <v>0</v>
      </c>
      <c r="T489" s="32">
        <v>0</v>
      </c>
      <c r="U489" s="32">
        <v>0</v>
      </c>
      <c r="V489" s="32">
        <v>0</v>
      </c>
      <c r="W489" s="32">
        <v>0</v>
      </c>
      <c r="X489" s="32">
        <v>0</v>
      </c>
      <c r="Y489" s="32">
        <v>0</v>
      </c>
      <c r="Z489" s="32">
        <v>0</v>
      </c>
      <c r="AA489" s="32">
        <v>0</v>
      </c>
      <c r="AB489" s="32">
        <v>0</v>
      </c>
      <c r="AC489" s="32">
        <v>0</v>
      </c>
      <c r="AD489" s="32">
        <v>0</v>
      </c>
      <c r="AE489" s="32">
        <v>0</v>
      </c>
      <c r="AF489" s="32">
        <v>0</v>
      </c>
      <c r="AG489" s="32">
        <v>0</v>
      </c>
      <c r="AH489" s="32">
        <v>0</v>
      </c>
      <c r="AI489" s="32">
        <v>0</v>
      </c>
      <c r="AJ489" s="32">
        <v>0</v>
      </c>
      <c r="AK489" s="32">
        <v>0</v>
      </c>
      <c r="AL489" s="32">
        <v>0</v>
      </c>
    </row>
    <row r="490" spans="1:38" ht="13.5" hidden="1" customHeight="1">
      <c r="A490" s="30" t="s">
        <v>2272</v>
      </c>
      <c r="B490" s="30" t="s">
        <v>2273</v>
      </c>
      <c r="C490" s="30" t="s">
        <v>235</v>
      </c>
      <c r="D490" s="30" t="s">
        <v>2012</v>
      </c>
      <c r="E490" s="30" t="s">
        <v>2040</v>
      </c>
      <c r="F490" s="30" t="s">
        <v>2041</v>
      </c>
      <c r="G490" s="30"/>
      <c r="H490" s="30" t="s">
        <v>2623</v>
      </c>
      <c r="I490" s="30" t="s">
        <v>2015</v>
      </c>
      <c r="J490" s="30" t="s">
        <v>2015</v>
      </c>
      <c r="K490" s="30" t="s">
        <v>2018</v>
      </c>
      <c r="L490" s="30" t="s">
        <v>2017</v>
      </c>
      <c r="M490" s="30" t="s">
        <v>2018</v>
      </c>
      <c r="N490" s="30" t="s">
        <v>2018</v>
      </c>
      <c r="O490" s="30" t="s">
        <v>2015</v>
      </c>
      <c r="P490" s="32">
        <v>43</v>
      </c>
      <c r="Q490" s="32">
        <v>425</v>
      </c>
      <c r="R490" s="32">
        <v>6</v>
      </c>
      <c r="S490" s="32">
        <v>5</v>
      </c>
      <c r="T490" s="32">
        <v>1</v>
      </c>
      <c r="U490" s="32">
        <v>6</v>
      </c>
      <c r="V490" s="32">
        <v>6</v>
      </c>
      <c r="W490" s="32">
        <v>2</v>
      </c>
      <c r="X490" s="32">
        <v>12</v>
      </c>
      <c r="Y490" s="32">
        <v>11</v>
      </c>
      <c r="Z490" s="32">
        <v>3</v>
      </c>
      <c r="AA490" s="32">
        <v>13</v>
      </c>
      <c r="AB490" s="32">
        <v>11</v>
      </c>
      <c r="AC490" s="32">
        <v>2</v>
      </c>
      <c r="AD490" s="32">
        <v>6</v>
      </c>
      <c r="AE490" s="32">
        <v>6</v>
      </c>
      <c r="AF490" s="32">
        <v>2</v>
      </c>
      <c r="AG490" s="32">
        <v>19</v>
      </c>
      <c r="AH490" s="32">
        <v>17</v>
      </c>
      <c r="AI490" s="32">
        <v>4</v>
      </c>
      <c r="AJ490" s="32">
        <v>19</v>
      </c>
      <c r="AK490" s="32">
        <v>29</v>
      </c>
      <c r="AL490" s="32">
        <v>65.5</v>
      </c>
    </row>
    <row r="491" spans="1:38" ht="13.5" hidden="1" customHeight="1">
      <c r="A491" s="30" t="s">
        <v>2272</v>
      </c>
      <c r="B491" s="30" t="s">
        <v>2273</v>
      </c>
      <c r="C491" s="30" t="s">
        <v>235</v>
      </c>
      <c r="D491" s="30" t="s">
        <v>2012</v>
      </c>
      <c r="E491" s="30" t="s">
        <v>2040</v>
      </c>
      <c r="F491" s="30" t="s">
        <v>2041</v>
      </c>
      <c r="G491" s="30"/>
      <c r="H491" s="30" t="s">
        <v>2624</v>
      </c>
      <c r="I491" s="30" t="s">
        <v>2015</v>
      </c>
      <c r="J491" s="30" t="s">
        <v>2015</v>
      </c>
      <c r="K491" s="30" t="s">
        <v>2018</v>
      </c>
      <c r="L491" s="30" t="s">
        <v>2017</v>
      </c>
      <c r="M491" s="30" t="s">
        <v>2018</v>
      </c>
      <c r="N491" s="30" t="s">
        <v>2018</v>
      </c>
      <c r="O491" s="30" t="s">
        <v>2015</v>
      </c>
      <c r="P491" s="32">
        <v>231</v>
      </c>
      <c r="Q491" s="32">
        <v>135</v>
      </c>
      <c r="R491" s="32">
        <v>30</v>
      </c>
      <c r="S491" s="32">
        <v>8</v>
      </c>
      <c r="T491" s="32">
        <v>5</v>
      </c>
      <c r="U491" s="32">
        <v>11</v>
      </c>
      <c r="V491" s="32">
        <v>7</v>
      </c>
      <c r="W491" s="32">
        <v>0</v>
      </c>
      <c r="X491" s="32">
        <v>41</v>
      </c>
      <c r="Y491" s="32">
        <v>15</v>
      </c>
      <c r="Z491" s="32">
        <v>5</v>
      </c>
      <c r="AA491" s="32">
        <v>87</v>
      </c>
      <c r="AB491" s="32">
        <v>23</v>
      </c>
      <c r="AC491" s="32">
        <v>15</v>
      </c>
      <c r="AD491" s="32">
        <v>11</v>
      </c>
      <c r="AE491" s="32">
        <v>7</v>
      </c>
      <c r="AF491" s="32">
        <v>0</v>
      </c>
      <c r="AG491" s="32">
        <v>98</v>
      </c>
      <c r="AH491" s="32">
        <v>30</v>
      </c>
      <c r="AI491" s="32">
        <v>15</v>
      </c>
      <c r="AJ491" s="32">
        <v>98</v>
      </c>
      <c r="AK491" s="32">
        <v>191</v>
      </c>
      <c r="AL491" s="32">
        <v>51.3</v>
      </c>
    </row>
    <row r="492" spans="1:38" ht="13.5" hidden="1" customHeight="1">
      <c r="A492" s="30" t="s">
        <v>2272</v>
      </c>
      <c r="B492" s="30" t="s">
        <v>2273</v>
      </c>
      <c r="C492" s="30" t="s">
        <v>235</v>
      </c>
      <c r="D492" s="30" t="s">
        <v>2012</v>
      </c>
      <c r="E492" s="30" t="s">
        <v>2040</v>
      </c>
      <c r="F492" s="30" t="s">
        <v>2041</v>
      </c>
      <c r="G492" s="30"/>
      <c r="H492" s="30" t="s">
        <v>2625</v>
      </c>
      <c r="I492" s="30" t="s">
        <v>2015</v>
      </c>
      <c r="J492" s="30" t="s">
        <v>2015</v>
      </c>
      <c r="K492" s="30" t="s">
        <v>2018</v>
      </c>
      <c r="L492" s="30" t="s">
        <v>2017</v>
      </c>
      <c r="M492" s="30" t="s">
        <v>2018</v>
      </c>
      <c r="N492" s="30" t="s">
        <v>2018</v>
      </c>
      <c r="O492" s="30" t="s">
        <v>2015</v>
      </c>
      <c r="P492" s="32">
        <v>2383</v>
      </c>
      <c r="Q492" s="32">
        <v>1215</v>
      </c>
      <c r="R492" s="32">
        <v>315</v>
      </c>
      <c r="S492" s="32">
        <v>185</v>
      </c>
      <c r="T492" s="32">
        <v>75</v>
      </c>
      <c r="U492" s="32">
        <v>300</v>
      </c>
      <c r="V492" s="32">
        <v>241</v>
      </c>
      <c r="W492" s="32">
        <v>134</v>
      </c>
      <c r="X492" s="32">
        <v>615</v>
      </c>
      <c r="Y492" s="32">
        <v>426</v>
      </c>
      <c r="Z492" s="32">
        <v>209</v>
      </c>
      <c r="AA492" s="32">
        <v>942</v>
      </c>
      <c r="AB492" s="32">
        <v>555</v>
      </c>
      <c r="AC492" s="32">
        <v>225</v>
      </c>
      <c r="AD492" s="32">
        <v>344</v>
      </c>
      <c r="AE492" s="32">
        <v>275</v>
      </c>
      <c r="AF492" s="32">
        <v>153</v>
      </c>
      <c r="AG492" s="32">
        <v>1286</v>
      </c>
      <c r="AH492" s="32">
        <v>830</v>
      </c>
      <c r="AI492" s="32">
        <v>378</v>
      </c>
      <c r="AJ492" s="32">
        <v>1286</v>
      </c>
      <c r="AK492" s="32">
        <v>2423</v>
      </c>
      <c r="AL492" s="32">
        <v>53.1</v>
      </c>
    </row>
    <row r="493" spans="1:38" ht="13.5" hidden="1" customHeight="1">
      <c r="A493" s="30" t="s">
        <v>2272</v>
      </c>
      <c r="B493" s="30" t="s">
        <v>2273</v>
      </c>
      <c r="C493" s="30" t="s">
        <v>235</v>
      </c>
      <c r="D493" s="30" t="s">
        <v>2012</v>
      </c>
      <c r="E493" s="30" t="s">
        <v>2040</v>
      </c>
      <c r="F493" s="30" t="s">
        <v>2041</v>
      </c>
      <c r="G493" s="30"/>
      <c r="H493" s="30" t="s">
        <v>2626</v>
      </c>
      <c r="I493" s="30" t="s">
        <v>2015</v>
      </c>
      <c r="J493" s="30" t="s">
        <v>2015</v>
      </c>
      <c r="K493" s="30" t="s">
        <v>2018</v>
      </c>
      <c r="L493" s="30" t="s">
        <v>2017</v>
      </c>
      <c r="M493" s="30" t="s">
        <v>2018</v>
      </c>
      <c r="N493" s="30" t="s">
        <v>2018</v>
      </c>
      <c r="O493" s="30" t="s">
        <v>2015</v>
      </c>
      <c r="P493" s="32">
        <v>666</v>
      </c>
      <c r="Q493" s="32">
        <v>564</v>
      </c>
      <c r="R493" s="32">
        <v>84</v>
      </c>
      <c r="S493" s="32">
        <v>39</v>
      </c>
      <c r="T493" s="32">
        <v>15</v>
      </c>
      <c r="U493" s="32">
        <v>85</v>
      </c>
      <c r="V493" s="32">
        <v>57</v>
      </c>
      <c r="W493" s="32">
        <v>38</v>
      </c>
      <c r="X493" s="32">
        <v>169</v>
      </c>
      <c r="Y493" s="32">
        <v>96</v>
      </c>
      <c r="Z493" s="32">
        <v>53</v>
      </c>
      <c r="AA493" s="32">
        <v>260</v>
      </c>
      <c r="AB493" s="32">
        <v>121</v>
      </c>
      <c r="AC493" s="32">
        <v>47</v>
      </c>
      <c r="AD493" s="32">
        <v>94</v>
      </c>
      <c r="AE493" s="32">
        <v>63</v>
      </c>
      <c r="AF493" s="32">
        <v>42</v>
      </c>
      <c r="AG493" s="32">
        <v>354</v>
      </c>
      <c r="AH493" s="32">
        <v>184</v>
      </c>
      <c r="AI493" s="32">
        <v>89</v>
      </c>
      <c r="AJ493" s="32">
        <v>354</v>
      </c>
      <c r="AK493" s="32">
        <v>654</v>
      </c>
      <c r="AL493" s="32">
        <v>54.1</v>
      </c>
    </row>
    <row r="494" spans="1:38" ht="13.5" hidden="1" customHeight="1">
      <c r="A494" s="30" t="s">
        <v>2272</v>
      </c>
      <c r="B494" s="30" t="s">
        <v>2273</v>
      </c>
      <c r="C494" s="30" t="s">
        <v>235</v>
      </c>
      <c r="D494" s="30" t="s">
        <v>2012</v>
      </c>
      <c r="E494" s="30" t="s">
        <v>2040</v>
      </c>
      <c r="F494" s="30" t="s">
        <v>2041</v>
      </c>
      <c r="G494" s="30"/>
      <c r="H494" s="30" t="s">
        <v>2627</v>
      </c>
      <c r="I494" s="30" t="s">
        <v>2015</v>
      </c>
      <c r="J494" s="30" t="s">
        <v>2015</v>
      </c>
      <c r="K494" s="30" t="s">
        <v>2018</v>
      </c>
      <c r="L494" s="30" t="s">
        <v>2017</v>
      </c>
      <c r="M494" s="30" t="s">
        <v>2018</v>
      </c>
      <c r="N494" s="30" t="s">
        <v>2018</v>
      </c>
      <c r="O494" s="30" t="s">
        <v>2015</v>
      </c>
      <c r="P494" s="32">
        <v>347</v>
      </c>
      <c r="Q494" s="32">
        <v>1214</v>
      </c>
      <c r="R494" s="32">
        <v>39</v>
      </c>
      <c r="S494" s="32">
        <v>21</v>
      </c>
      <c r="T494" s="32">
        <v>6</v>
      </c>
      <c r="U494" s="32">
        <v>28</v>
      </c>
      <c r="V494" s="32">
        <v>18</v>
      </c>
      <c r="W494" s="32">
        <v>9</v>
      </c>
      <c r="X494" s="32">
        <v>67</v>
      </c>
      <c r="Y494" s="32">
        <v>39</v>
      </c>
      <c r="Z494" s="32">
        <v>15</v>
      </c>
      <c r="AA494" s="32">
        <v>106</v>
      </c>
      <c r="AB494" s="32">
        <v>57</v>
      </c>
      <c r="AC494" s="32">
        <v>16</v>
      </c>
      <c r="AD494" s="32">
        <v>31</v>
      </c>
      <c r="AE494" s="32">
        <v>20</v>
      </c>
      <c r="AF494" s="32">
        <v>10</v>
      </c>
      <c r="AG494" s="32">
        <v>137</v>
      </c>
      <c r="AH494" s="32">
        <v>77</v>
      </c>
      <c r="AI494" s="32">
        <v>26</v>
      </c>
      <c r="AJ494" s="32">
        <v>137</v>
      </c>
      <c r="AK494" s="32">
        <v>330</v>
      </c>
      <c r="AL494" s="32">
        <v>41.5</v>
      </c>
    </row>
    <row r="495" spans="1:38" ht="13.5" hidden="1" customHeight="1">
      <c r="A495" s="30" t="s">
        <v>2272</v>
      </c>
      <c r="B495" s="30" t="s">
        <v>2273</v>
      </c>
      <c r="C495" s="30" t="s">
        <v>235</v>
      </c>
      <c r="D495" s="30" t="s">
        <v>2012</v>
      </c>
      <c r="E495" s="30" t="s">
        <v>2040</v>
      </c>
      <c r="F495" s="30" t="s">
        <v>2041</v>
      </c>
      <c r="G495" s="30"/>
      <c r="H495" s="30" t="s">
        <v>2628</v>
      </c>
      <c r="I495" s="30" t="s">
        <v>2015</v>
      </c>
      <c r="J495" s="30" t="s">
        <v>2015</v>
      </c>
      <c r="K495" s="30" t="s">
        <v>2018</v>
      </c>
      <c r="L495" s="30" t="s">
        <v>2017</v>
      </c>
      <c r="M495" s="30" t="s">
        <v>2018</v>
      </c>
      <c r="N495" s="30" t="s">
        <v>2018</v>
      </c>
      <c r="O495" s="30" t="s">
        <v>2015</v>
      </c>
      <c r="P495" s="32">
        <v>159</v>
      </c>
      <c r="Q495" s="32">
        <v>982</v>
      </c>
      <c r="R495" s="32">
        <v>9</v>
      </c>
      <c r="S495" s="32">
        <v>4</v>
      </c>
      <c r="T495" s="32">
        <v>0</v>
      </c>
      <c r="U495" s="32">
        <v>25</v>
      </c>
      <c r="V495" s="32">
        <v>17</v>
      </c>
      <c r="W495" s="32">
        <v>14</v>
      </c>
      <c r="X495" s="32">
        <v>34</v>
      </c>
      <c r="Y495" s="32">
        <v>21</v>
      </c>
      <c r="Z495" s="32">
        <v>14</v>
      </c>
      <c r="AA495" s="32">
        <v>23</v>
      </c>
      <c r="AB495" s="32">
        <v>10</v>
      </c>
      <c r="AC495" s="32">
        <v>0</v>
      </c>
      <c r="AD495" s="32">
        <v>30</v>
      </c>
      <c r="AE495" s="32">
        <v>20</v>
      </c>
      <c r="AF495" s="32">
        <v>17</v>
      </c>
      <c r="AG495" s="32">
        <v>53</v>
      </c>
      <c r="AH495" s="32">
        <v>30</v>
      </c>
      <c r="AI495" s="32">
        <v>17</v>
      </c>
      <c r="AJ495" s="32">
        <v>53</v>
      </c>
      <c r="AK495" s="32">
        <v>160</v>
      </c>
      <c r="AL495" s="32">
        <v>33.1</v>
      </c>
    </row>
    <row r="496" spans="1:38" ht="13.5" hidden="1" customHeight="1">
      <c r="A496" s="30" t="s">
        <v>2272</v>
      </c>
      <c r="B496" s="30" t="s">
        <v>2273</v>
      </c>
      <c r="C496" s="30" t="s">
        <v>235</v>
      </c>
      <c r="D496" s="30" t="s">
        <v>2012</v>
      </c>
      <c r="E496" s="30" t="s">
        <v>2040</v>
      </c>
      <c r="F496" s="30" t="s">
        <v>2041</v>
      </c>
      <c r="G496" s="30"/>
      <c r="H496" s="30" t="s">
        <v>2629</v>
      </c>
      <c r="I496" s="30" t="s">
        <v>2015</v>
      </c>
      <c r="J496" s="30" t="s">
        <v>2015</v>
      </c>
      <c r="K496" s="30" t="s">
        <v>2018</v>
      </c>
      <c r="L496" s="30" t="s">
        <v>2017</v>
      </c>
      <c r="M496" s="30" t="s">
        <v>2018</v>
      </c>
      <c r="N496" s="30" t="s">
        <v>2018</v>
      </c>
      <c r="O496" s="30" t="s">
        <v>2015</v>
      </c>
      <c r="P496" s="32">
        <v>811</v>
      </c>
      <c r="Q496" s="32">
        <v>498</v>
      </c>
      <c r="R496" s="32">
        <v>118</v>
      </c>
      <c r="S496" s="32">
        <v>69</v>
      </c>
      <c r="T496" s="32">
        <v>22</v>
      </c>
      <c r="U496" s="32">
        <v>75</v>
      </c>
      <c r="V496" s="32">
        <v>60</v>
      </c>
      <c r="W496" s="32">
        <v>46</v>
      </c>
      <c r="X496" s="32">
        <v>193</v>
      </c>
      <c r="Y496" s="32">
        <v>129</v>
      </c>
      <c r="Z496" s="32">
        <v>68</v>
      </c>
      <c r="AA496" s="32">
        <v>366</v>
      </c>
      <c r="AB496" s="32">
        <v>214</v>
      </c>
      <c r="AC496" s="32">
        <v>68</v>
      </c>
      <c r="AD496" s="32">
        <v>90</v>
      </c>
      <c r="AE496" s="32">
        <v>72</v>
      </c>
      <c r="AF496" s="32">
        <v>55</v>
      </c>
      <c r="AG496" s="32">
        <v>456</v>
      </c>
      <c r="AH496" s="32">
        <v>286</v>
      </c>
      <c r="AI496" s="32">
        <v>123</v>
      </c>
      <c r="AJ496" s="32">
        <v>456</v>
      </c>
      <c r="AK496" s="32">
        <v>838</v>
      </c>
      <c r="AL496" s="32">
        <v>54.4</v>
      </c>
    </row>
    <row r="497" spans="1:38" ht="13.5" hidden="1" customHeight="1">
      <c r="A497" s="30" t="s">
        <v>2272</v>
      </c>
      <c r="B497" s="30" t="s">
        <v>2273</v>
      </c>
      <c r="C497" s="30" t="s">
        <v>235</v>
      </c>
      <c r="D497" s="30" t="s">
        <v>2012</v>
      </c>
      <c r="E497" s="30" t="s">
        <v>2040</v>
      </c>
      <c r="F497" s="30" t="s">
        <v>2041</v>
      </c>
      <c r="G497" s="30"/>
      <c r="H497" s="30" t="s">
        <v>2630</v>
      </c>
      <c r="I497" s="30" t="s">
        <v>2015</v>
      </c>
      <c r="J497" s="30" t="s">
        <v>2015</v>
      </c>
      <c r="K497" s="30" t="s">
        <v>2018</v>
      </c>
      <c r="L497" s="30" t="s">
        <v>2017</v>
      </c>
      <c r="M497" s="30" t="s">
        <v>2018</v>
      </c>
      <c r="N497" s="30" t="s">
        <v>2018</v>
      </c>
      <c r="O497" s="30" t="s">
        <v>2015</v>
      </c>
      <c r="P497" s="32">
        <v>1270</v>
      </c>
      <c r="Q497" s="32">
        <v>787</v>
      </c>
      <c r="R497" s="32">
        <v>160</v>
      </c>
      <c r="S497" s="32">
        <v>76</v>
      </c>
      <c r="T497" s="32">
        <v>31</v>
      </c>
      <c r="U497" s="32">
        <v>147</v>
      </c>
      <c r="V497" s="32">
        <v>113</v>
      </c>
      <c r="W497" s="32">
        <v>65</v>
      </c>
      <c r="X497" s="32">
        <v>307</v>
      </c>
      <c r="Y497" s="32">
        <v>189</v>
      </c>
      <c r="Z497" s="32">
        <v>96</v>
      </c>
      <c r="AA497" s="32">
        <v>474</v>
      </c>
      <c r="AB497" s="32">
        <v>223</v>
      </c>
      <c r="AC497" s="32">
        <v>90</v>
      </c>
      <c r="AD497" s="32">
        <v>173</v>
      </c>
      <c r="AE497" s="32">
        <v>132</v>
      </c>
      <c r="AF497" s="32">
        <v>75</v>
      </c>
      <c r="AG497" s="32">
        <v>647</v>
      </c>
      <c r="AH497" s="32">
        <v>355</v>
      </c>
      <c r="AI497" s="32">
        <v>165</v>
      </c>
      <c r="AJ497" s="32">
        <v>647</v>
      </c>
      <c r="AK497" s="32">
        <v>1270</v>
      </c>
      <c r="AL497" s="32">
        <v>50.9</v>
      </c>
    </row>
    <row r="498" spans="1:38" ht="13.5" hidden="1" customHeight="1">
      <c r="A498" s="30" t="s">
        <v>2272</v>
      </c>
      <c r="B498" s="30" t="s">
        <v>2273</v>
      </c>
      <c r="C498" s="30" t="s">
        <v>235</v>
      </c>
      <c r="D498" s="30" t="s">
        <v>2012</v>
      </c>
      <c r="E498" s="30" t="s">
        <v>2040</v>
      </c>
      <c r="F498" s="30" t="s">
        <v>2041</v>
      </c>
      <c r="G498" s="30"/>
      <c r="H498" s="30" t="s">
        <v>2631</v>
      </c>
      <c r="I498" s="30" t="s">
        <v>2015</v>
      </c>
      <c r="J498" s="30" t="s">
        <v>2015</v>
      </c>
      <c r="K498" s="30" t="s">
        <v>2018</v>
      </c>
      <c r="L498" s="30" t="s">
        <v>2017</v>
      </c>
      <c r="M498" s="30" t="s">
        <v>2018</v>
      </c>
      <c r="N498" s="30" t="s">
        <v>2018</v>
      </c>
      <c r="O498" s="30" t="s">
        <v>2015</v>
      </c>
      <c r="P498" s="32">
        <v>612</v>
      </c>
      <c r="Q498" s="32">
        <v>361</v>
      </c>
      <c r="R498" s="32">
        <v>69</v>
      </c>
      <c r="S498" s="32">
        <v>35</v>
      </c>
      <c r="T498" s="32">
        <v>11</v>
      </c>
      <c r="U498" s="32">
        <v>53</v>
      </c>
      <c r="V498" s="32">
        <v>38</v>
      </c>
      <c r="W498" s="32">
        <v>14</v>
      </c>
      <c r="X498" s="32">
        <v>122</v>
      </c>
      <c r="Y498" s="32">
        <v>73</v>
      </c>
      <c r="Z498" s="32">
        <v>25</v>
      </c>
      <c r="AA498" s="32">
        <v>214</v>
      </c>
      <c r="AB498" s="32">
        <v>109</v>
      </c>
      <c r="AC498" s="32">
        <v>34</v>
      </c>
      <c r="AD498" s="32">
        <v>64</v>
      </c>
      <c r="AE498" s="32">
        <v>46</v>
      </c>
      <c r="AF498" s="32">
        <v>17</v>
      </c>
      <c r="AG498" s="32">
        <v>278</v>
      </c>
      <c r="AH498" s="32">
        <v>155</v>
      </c>
      <c r="AI498" s="32">
        <v>51</v>
      </c>
      <c r="AJ498" s="32">
        <v>278</v>
      </c>
      <c r="AK498" s="32">
        <v>616</v>
      </c>
      <c r="AL498" s="32">
        <v>45.1</v>
      </c>
    </row>
    <row r="499" spans="1:38" ht="13.5" hidden="1" customHeight="1">
      <c r="A499" s="30" t="s">
        <v>2272</v>
      </c>
      <c r="B499" s="30" t="s">
        <v>2273</v>
      </c>
      <c r="C499" s="30" t="s">
        <v>235</v>
      </c>
      <c r="D499" s="30" t="s">
        <v>2012</v>
      </c>
      <c r="E499" s="30" t="s">
        <v>2040</v>
      </c>
      <c r="F499" s="30" t="s">
        <v>2041</v>
      </c>
      <c r="G499" s="30"/>
      <c r="H499" s="30" t="s">
        <v>2632</v>
      </c>
      <c r="I499" s="30" t="s">
        <v>2015</v>
      </c>
      <c r="J499" s="30" t="s">
        <v>2015</v>
      </c>
      <c r="K499" s="30" t="s">
        <v>2018</v>
      </c>
      <c r="L499" s="30" t="s">
        <v>2017</v>
      </c>
      <c r="M499" s="30" t="s">
        <v>2018</v>
      </c>
      <c r="N499" s="30" t="s">
        <v>2018</v>
      </c>
      <c r="O499" s="30" t="s">
        <v>2015</v>
      </c>
      <c r="P499" s="32">
        <v>183</v>
      </c>
      <c r="Q499" s="32">
        <v>189</v>
      </c>
      <c r="R499" s="32">
        <v>31</v>
      </c>
      <c r="S499" s="32">
        <v>6</v>
      </c>
      <c r="T499" s="32">
        <v>2</v>
      </c>
      <c r="U499" s="32">
        <v>19</v>
      </c>
      <c r="V499" s="32">
        <v>16</v>
      </c>
      <c r="W499" s="32">
        <v>7</v>
      </c>
      <c r="X499" s="32">
        <v>50</v>
      </c>
      <c r="Y499" s="32">
        <v>22</v>
      </c>
      <c r="Z499" s="32">
        <v>9</v>
      </c>
      <c r="AA499" s="32">
        <v>87</v>
      </c>
      <c r="AB499" s="32">
        <v>17</v>
      </c>
      <c r="AC499" s="32">
        <v>6</v>
      </c>
      <c r="AD499" s="32">
        <v>21</v>
      </c>
      <c r="AE499" s="32">
        <v>18</v>
      </c>
      <c r="AF499" s="32">
        <v>8</v>
      </c>
      <c r="AG499" s="32">
        <v>108</v>
      </c>
      <c r="AH499" s="32">
        <v>35</v>
      </c>
      <c r="AI499" s="32">
        <v>14</v>
      </c>
      <c r="AJ499" s="32">
        <v>108</v>
      </c>
      <c r="AK499" s="32">
        <v>216</v>
      </c>
      <c r="AL499" s="32">
        <v>50</v>
      </c>
    </row>
    <row r="500" spans="1:38" ht="13.5" hidden="1" customHeight="1">
      <c r="A500" s="30" t="s">
        <v>2272</v>
      </c>
      <c r="B500" s="30" t="s">
        <v>2273</v>
      </c>
      <c r="C500" s="30" t="s">
        <v>235</v>
      </c>
      <c r="D500" s="30" t="s">
        <v>2012</v>
      </c>
      <c r="E500" s="30" t="s">
        <v>2040</v>
      </c>
      <c r="F500" s="30" t="s">
        <v>2041</v>
      </c>
      <c r="G500" s="30"/>
      <c r="H500" s="30" t="s">
        <v>2633</v>
      </c>
      <c r="I500" s="30" t="s">
        <v>2015</v>
      </c>
      <c r="J500" s="30" t="s">
        <v>2015</v>
      </c>
      <c r="K500" s="30" t="s">
        <v>2018</v>
      </c>
      <c r="L500" s="30" t="s">
        <v>2017</v>
      </c>
      <c r="M500" s="30" t="s">
        <v>2018</v>
      </c>
      <c r="N500" s="30" t="s">
        <v>2018</v>
      </c>
      <c r="O500" s="30" t="s">
        <v>2015</v>
      </c>
      <c r="P500" s="32">
        <v>254</v>
      </c>
      <c r="Q500" s="32">
        <v>317</v>
      </c>
      <c r="R500" s="32">
        <v>32</v>
      </c>
      <c r="S500" s="32">
        <v>16</v>
      </c>
      <c r="T500" s="32">
        <v>9</v>
      </c>
      <c r="U500" s="32">
        <v>16</v>
      </c>
      <c r="V500" s="32">
        <v>11</v>
      </c>
      <c r="W500" s="32">
        <v>11</v>
      </c>
      <c r="X500" s="32">
        <v>48</v>
      </c>
      <c r="Y500" s="32">
        <v>27</v>
      </c>
      <c r="Z500" s="32">
        <v>20</v>
      </c>
      <c r="AA500" s="32">
        <v>102</v>
      </c>
      <c r="AB500" s="32">
        <v>51</v>
      </c>
      <c r="AC500" s="32">
        <v>29</v>
      </c>
      <c r="AD500" s="32">
        <v>26</v>
      </c>
      <c r="AE500" s="32">
        <v>18</v>
      </c>
      <c r="AF500" s="32">
        <v>18</v>
      </c>
      <c r="AG500" s="32">
        <v>128</v>
      </c>
      <c r="AH500" s="32">
        <v>69</v>
      </c>
      <c r="AI500" s="32">
        <v>47</v>
      </c>
      <c r="AJ500" s="32">
        <v>128</v>
      </c>
      <c r="AK500" s="32">
        <v>239</v>
      </c>
      <c r="AL500" s="32">
        <v>53.6</v>
      </c>
    </row>
    <row r="501" spans="1:38" ht="13.5" hidden="1" customHeight="1">
      <c r="A501" s="30" t="s">
        <v>2272</v>
      </c>
      <c r="B501" s="30" t="s">
        <v>2273</v>
      </c>
      <c r="C501" s="30" t="s">
        <v>235</v>
      </c>
      <c r="D501" s="30" t="s">
        <v>2012</v>
      </c>
      <c r="E501" s="30" t="s">
        <v>2040</v>
      </c>
      <c r="F501" s="30" t="s">
        <v>2041</v>
      </c>
      <c r="G501" s="30"/>
      <c r="H501" s="30" t="s">
        <v>2634</v>
      </c>
      <c r="I501" s="30" t="s">
        <v>2015</v>
      </c>
      <c r="J501" s="30" t="s">
        <v>2015</v>
      </c>
      <c r="K501" s="30" t="s">
        <v>2018</v>
      </c>
      <c r="L501" s="30" t="s">
        <v>2017</v>
      </c>
      <c r="M501" s="30" t="s">
        <v>2018</v>
      </c>
      <c r="N501" s="30" t="s">
        <v>2018</v>
      </c>
      <c r="O501" s="30" t="s">
        <v>2015</v>
      </c>
      <c r="P501" s="32">
        <v>258</v>
      </c>
      <c r="Q501" s="32">
        <v>213</v>
      </c>
      <c r="R501" s="32">
        <v>50</v>
      </c>
      <c r="S501" s="32">
        <v>30</v>
      </c>
      <c r="T501" s="32">
        <v>15</v>
      </c>
      <c r="U501" s="32">
        <v>32</v>
      </c>
      <c r="V501" s="32">
        <v>28</v>
      </c>
      <c r="W501" s="32">
        <v>11</v>
      </c>
      <c r="X501" s="32">
        <v>82</v>
      </c>
      <c r="Y501" s="32">
        <v>58</v>
      </c>
      <c r="Z501" s="32">
        <v>26</v>
      </c>
      <c r="AA501" s="32">
        <v>130</v>
      </c>
      <c r="AB501" s="32">
        <v>78</v>
      </c>
      <c r="AC501" s="32">
        <v>39</v>
      </c>
      <c r="AD501" s="32">
        <v>38</v>
      </c>
      <c r="AE501" s="32">
        <v>34</v>
      </c>
      <c r="AF501" s="32">
        <v>13</v>
      </c>
      <c r="AG501" s="32">
        <v>168</v>
      </c>
      <c r="AH501" s="32">
        <v>112</v>
      </c>
      <c r="AI501" s="32">
        <v>52</v>
      </c>
      <c r="AJ501" s="32">
        <v>168</v>
      </c>
      <c r="AK501" s="32">
        <v>242</v>
      </c>
      <c r="AL501" s="32">
        <v>69.400000000000006</v>
      </c>
    </row>
    <row r="502" spans="1:38" ht="13.5" hidden="1" customHeight="1">
      <c r="A502" s="30" t="s">
        <v>2272</v>
      </c>
      <c r="B502" s="30" t="s">
        <v>2273</v>
      </c>
      <c r="C502" s="30" t="s">
        <v>235</v>
      </c>
      <c r="D502" s="30" t="s">
        <v>2012</v>
      </c>
      <c r="E502" s="30" t="s">
        <v>2040</v>
      </c>
      <c r="F502" s="30" t="s">
        <v>2041</v>
      </c>
      <c r="G502" s="30"/>
      <c r="H502" s="30" t="s">
        <v>2635</v>
      </c>
      <c r="I502" s="30" t="s">
        <v>2015</v>
      </c>
      <c r="J502" s="30" t="s">
        <v>2015</v>
      </c>
      <c r="K502" s="30" t="s">
        <v>2018</v>
      </c>
      <c r="L502" s="30" t="s">
        <v>2017</v>
      </c>
      <c r="M502" s="30" t="s">
        <v>2018</v>
      </c>
      <c r="N502" s="30" t="s">
        <v>2018</v>
      </c>
      <c r="O502" s="30" t="s">
        <v>2015</v>
      </c>
      <c r="P502" s="32">
        <v>135</v>
      </c>
      <c r="Q502" s="32">
        <v>225</v>
      </c>
      <c r="R502" s="32">
        <v>23</v>
      </c>
      <c r="S502" s="32">
        <v>13</v>
      </c>
      <c r="T502" s="32">
        <v>7</v>
      </c>
      <c r="U502" s="32">
        <v>11</v>
      </c>
      <c r="V502" s="32">
        <v>9</v>
      </c>
      <c r="W502" s="32">
        <v>4</v>
      </c>
      <c r="X502" s="32">
        <v>34</v>
      </c>
      <c r="Y502" s="32">
        <v>22</v>
      </c>
      <c r="Z502" s="32">
        <v>11</v>
      </c>
      <c r="AA502" s="32">
        <v>60</v>
      </c>
      <c r="AB502" s="32">
        <v>34</v>
      </c>
      <c r="AC502" s="32">
        <v>18</v>
      </c>
      <c r="AD502" s="32">
        <v>14</v>
      </c>
      <c r="AE502" s="32">
        <v>12</v>
      </c>
      <c r="AF502" s="32">
        <v>5</v>
      </c>
      <c r="AG502" s="32">
        <v>74</v>
      </c>
      <c r="AH502" s="32">
        <v>46</v>
      </c>
      <c r="AI502" s="32">
        <v>23</v>
      </c>
      <c r="AJ502" s="32">
        <v>74</v>
      </c>
      <c r="AK502" s="32">
        <v>139</v>
      </c>
      <c r="AL502" s="32">
        <v>53.2</v>
      </c>
    </row>
    <row r="503" spans="1:38" ht="13.5" hidden="1" customHeight="1">
      <c r="A503" s="30" t="s">
        <v>2272</v>
      </c>
      <c r="B503" s="30" t="s">
        <v>2273</v>
      </c>
      <c r="C503" s="30" t="s">
        <v>235</v>
      </c>
      <c r="D503" s="30" t="s">
        <v>2012</v>
      </c>
      <c r="E503" s="30" t="s">
        <v>2042</v>
      </c>
      <c r="F503" s="30" t="s">
        <v>2043</v>
      </c>
      <c r="G503" s="30"/>
      <c r="H503" s="30" t="s">
        <v>2636</v>
      </c>
      <c r="I503" s="30" t="s">
        <v>2015</v>
      </c>
      <c r="J503" s="30" t="s">
        <v>2015</v>
      </c>
      <c r="K503" s="30" t="s">
        <v>2018</v>
      </c>
      <c r="L503" s="30" t="s">
        <v>2017</v>
      </c>
      <c r="M503" s="30" t="s">
        <v>2018</v>
      </c>
      <c r="N503" s="30" t="s">
        <v>2018</v>
      </c>
      <c r="O503" s="30" t="s">
        <v>2015</v>
      </c>
      <c r="P503" s="32">
        <v>477</v>
      </c>
      <c r="Q503" s="32">
        <v>238</v>
      </c>
      <c r="R503" s="32">
        <v>20</v>
      </c>
      <c r="S503" s="32">
        <v>9</v>
      </c>
      <c r="T503" s="32">
        <v>2</v>
      </c>
      <c r="U503" s="32">
        <v>31</v>
      </c>
      <c r="V503" s="32">
        <v>20</v>
      </c>
      <c r="W503" s="32">
        <v>10</v>
      </c>
      <c r="X503" s="32">
        <v>51</v>
      </c>
      <c r="Y503" s="32">
        <v>29</v>
      </c>
      <c r="Z503" s="32">
        <v>12</v>
      </c>
      <c r="AA503" s="32">
        <v>56</v>
      </c>
      <c r="AB503" s="32">
        <v>25</v>
      </c>
      <c r="AC503" s="32">
        <v>6</v>
      </c>
      <c r="AD503" s="32">
        <v>39</v>
      </c>
      <c r="AE503" s="32">
        <v>25</v>
      </c>
      <c r="AF503" s="32">
        <v>12</v>
      </c>
      <c r="AG503" s="32">
        <v>95</v>
      </c>
      <c r="AH503" s="32">
        <v>50</v>
      </c>
      <c r="AI503" s="32">
        <v>18</v>
      </c>
      <c r="AJ503" s="32">
        <v>95</v>
      </c>
      <c r="AK503" s="32">
        <v>499</v>
      </c>
      <c r="AL503" s="32">
        <v>19</v>
      </c>
    </row>
    <row r="504" spans="1:38" ht="13.5" hidden="1" customHeight="1">
      <c r="A504" s="30" t="s">
        <v>2272</v>
      </c>
      <c r="B504" s="30" t="s">
        <v>2273</v>
      </c>
      <c r="C504" s="30" t="s">
        <v>235</v>
      </c>
      <c r="D504" s="30" t="s">
        <v>2012</v>
      </c>
      <c r="E504" s="30" t="s">
        <v>2042</v>
      </c>
      <c r="F504" s="30" t="s">
        <v>2043</v>
      </c>
      <c r="G504" s="30"/>
      <c r="H504" s="30" t="s">
        <v>2060</v>
      </c>
      <c r="I504" s="30" t="s">
        <v>2015</v>
      </c>
      <c r="J504" s="30" t="s">
        <v>2015</v>
      </c>
      <c r="K504" s="30" t="s">
        <v>2018</v>
      </c>
      <c r="L504" s="30" t="s">
        <v>2017</v>
      </c>
      <c r="M504" s="30" t="s">
        <v>2018</v>
      </c>
      <c r="N504" s="30" t="s">
        <v>2018</v>
      </c>
      <c r="O504" s="30" t="s">
        <v>2015</v>
      </c>
      <c r="P504" s="32">
        <v>9266</v>
      </c>
      <c r="Q504" s="32">
        <v>4383</v>
      </c>
      <c r="R504" s="32">
        <v>892</v>
      </c>
      <c r="S504" s="32">
        <v>464</v>
      </c>
      <c r="T504" s="32">
        <v>235</v>
      </c>
      <c r="U504" s="32">
        <v>1084</v>
      </c>
      <c r="V504" s="32">
        <v>672</v>
      </c>
      <c r="W504" s="32">
        <v>334</v>
      </c>
      <c r="X504" s="32">
        <v>1976</v>
      </c>
      <c r="Y504" s="32">
        <v>1136</v>
      </c>
      <c r="Z504" s="32">
        <v>569</v>
      </c>
      <c r="AA504" s="32">
        <v>2724</v>
      </c>
      <c r="AB504" s="32">
        <v>1396</v>
      </c>
      <c r="AC504" s="32">
        <v>708</v>
      </c>
      <c r="AD504" s="32">
        <v>1272</v>
      </c>
      <c r="AE504" s="32">
        <v>767</v>
      </c>
      <c r="AF504" s="32">
        <v>378</v>
      </c>
      <c r="AG504" s="32">
        <v>3996</v>
      </c>
      <c r="AH504" s="32">
        <v>2163</v>
      </c>
      <c r="AI504" s="32">
        <v>1086</v>
      </c>
      <c r="AJ504" s="32">
        <v>3996</v>
      </c>
      <c r="AK504" s="32">
        <v>9148</v>
      </c>
      <c r="AL504" s="32">
        <v>43.7</v>
      </c>
    </row>
    <row r="505" spans="1:38" ht="13.5" hidden="1" customHeight="1">
      <c r="A505" s="30" t="s">
        <v>2272</v>
      </c>
      <c r="B505" s="30" t="s">
        <v>2273</v>
      </c>
      <c r="C505" s="30" t="s">
        <v>235</v>
      </c>
      <c r="D505" s="30" t="s">
        <v>2012</v>
      </c>
      <c r="E505" s="30" t="s">
        <v>2042</v>
      </c>
      <c r="F505" s="30" t="s">
        <v>2043</v>
      </c>
      <c r="G505" s="30"/>
      <c r="H505" s="30" t="s">
        <v>2637</v>
      </c>
      <c r="I505" s="30" t="s">
        <v>2015</v>
      </c>
      <c r="J505" s="30" t="s">
        <v>2015</v>
      </c>
      <c r="K505" s="30" t="s">
        <v>2018</v>
      </c>
      <c r="L505" s="30" t="s">
        <v>2017</v>
      </c>
      <c r="M505" s="30" t="s">
        <v>2018</v>
      </c>
      <c r="N505" s="30" t="s">
        <v>2018</v>
      </c>
      <c r="O505" s="30" t="s">
        <v>2015</v>
      </c>
      <c r="P505" s="32">
        <v>2727</v>
      </c>
      <c r="Q505" s="32">
        <v>1035</v>
      </c>
      <c r="R505" s="32">
        <v>285</v>
      </c>
      <c r="S505" s="32">
        <v>100</v>
      </c>
      <c r="T505" s="32">
        <v>59</v>
      </c>
      <c r="U505" s="32">
        <v>103</v>
      </c>
      <c r="V505" s="32">
        <v>73</v>
      </c>
      <c r="W505" s="32">
        <v>39</v>
      </c>
      <c r="X505" s="32">
        <v>388</v>
      </c>
      <c r="Y505" s="32">
        <v>173</v>
      </c>
      <c r="Z505" s="32">
        <v>98</v>
      </c>
      <c r="AA505" s="32">
        <v>876</v>
      </c>
      <c r="AB505" s="32">
        <v>307</v>
      </c>
      <c r="AC505" s="32">
        <v>181</v>
      </c>
      <c r="AD505" s="32">
        <v>155</v>
      </c>
      <c r="AE505" s="32">
        <v>112</v>
      </c>
      <c r="AF505" s="32">
        <v>60</v>
      </c>
      <c r="AG505" s="32">
        <v>1031</v>
      </c>
      <c r="AH505" s="32">
        <v>419</v>
      </c>
      <c r="AI505" s="32">
        <v>241</v>
      </c>
      <c r="AJ505" s="32">
        <v>1031</v>
      </c>
      <c r="AK505" s="32">
        <v>2702</v>
      </c>
      <c r="AL505" s="32">
        <v>38.200000000000003</v>
      </c>
    </row>
    <row r="506" spans="1:38" ht="13.5" hidden="1" customHeight="1">
      <c r="A506" s="30" t="s">
        <v>2272</v>
      </c>
      <c r="B506" s="30" t="s">
        <v>2273</v>
      </c>
      <c r="C506" s="30" t="s">
        <v>235</v>
      </c>
      <c r="D506" s="30" t="s">
        <v>2012</v>
      </c>
      <c r="E506" s="30" t="s">
        <v>2042</v>
      </c>
      <c r="F506" s="30" t="s">
        <v>2043</v>
      </c>
      <c r="G506" s="30"/>
      <c r="H506" s="30" t="s">
        <v>2638</v>
      </c>
      <c r="I506" s="30" t="s">
        <v>2015</v>
      </c>
      <c r="J506" s="30" t="s">
        <v>2015</v>
      </c>
      <c r="K506" s="30" t="s">
        <v>2018</v>
      </c>
      <c r="L506" s="30" t="s">
        <v>2017</v>
      </c>
      <c r="M506" s="30" t="s">
        <v>2018</v>
      </c>
      <c r="N506" s="30" t="s">
        <v>2018</v>
      </c>
      <c r="O506" s="30" t="s">
        <v>2015</v>
      </c>
      <c r="P506" s="32">
        <v>2612</v>
      </c>
      <c r="Q506" s="32">
        <v>1107</v>
      </c>
      <c r="R506" s="32">
        <v>204</v>
      </c>
      <c r="S506" s="32">
        <v>91</v>
      </c>
      <c r="T506" s="32">
        <v>68</v>
      </c>
      <c r="U506" s="32">
        <v>179</v>
      </c>
      <c r="V506" s="32">
        <v>151</v>
      </c>
      <c r="W506" s="32">
        <v>88</v>
      </c>
      <c r="X506" s="32">
        <v>383</v>
      </c>
      <c r="Y506" s="32">
        <v>242</v>
      </c>
      <c r="Z506" s="32">
        <v>156</v>
      </c>
      <c r="AA506" s="32">
        <v>612</v>
      </c>
      <c r="AB506" s="32">
        <v>273</v>
      </c>
      <c r="AC506" s="32">
        <v>204</v>
      </c>
      <c r="AD506" s="32">
        <v>216</v>
      </c>
      <c r="AE506" s="32">
        <v>182</v>
      </c>
      <c r="AF506" s="32">
        <v>108</v>
      </c>
      <c r="AG506" s="32">
        <v>828</v>
      </c>
      <c r="AH506" s="32">
        <v>455</v>
      </c>
      <c r="AI506" s="32">
        <v>312</v>
      </c>
      <c r="AJ506" s="32">
        <v>828</v>
      </c>
      <c r="AK506" s="32">
        <v>2627</v>
      </c>
      <c r="AL506" s="32">
        <v>31.5</v>
      </c>
    </row>
    <row r="507" spans="1:38" ht="13.5" hidden="1" customHeight="1">
      <c r="A507" s="30" t="s">
        <v>2272</v>
      </c>
      <c r="B507" s="30" t="s">
        <v>2273</v>
      </c>
      <c r="C507" s="30" t="s">
        <v>235</v>
      </c>
      <c r="D507" s="30" t="s">
        <v>2012</v>
      </c>
      <c r="E507" s="30" t="s">
        <v>2042</v>
      </c>
      <c r="F507" s="30" t="s">
        <v>2043</v>
      </c>
      <c r="G507" s="30"/>
      <c r="H507" s="30" t="s">
        <v>2639</v>
      </c>
      <c r="I507" s="30" t="s">
        <v>2015</v>
      </c>
      <c r="J507" s="30" t="s">
        <v>2015</v>
      </c>
      <c r="K507" s="30" t="s">
        <v>2018</v>
      </c>
      <c r="L507" s="30" t="s">
        <v>2017</v>
      </c>
      <c r="M507" s="30" t="s">
        <v>2018</v>
      </c>
      <c r="N507" s="30" t="s">
        <v>2018</v>
      </c>
      <c r="O507" s="30" t="s">
        <v>2015</v>
      </c>
      <c r="P507" s="32">
        <v>1020</v>
      </c>
      <c r="Q507" s="32">
        <v>931</v>
      </c>
      <c r="R507" s="32">
        <v>66</v>
      </c>
      <c r="S507" s="32">
        <v>25</v>
      </c>
      <c r="T507" s="32">
        <v>10</v>
      </c>
      <c r="U507" s="32">
        <v>85</v>
      </c>
      <c r="V507" s="32">
        <v>51</v>
      </c>
      <c r="W507" s="32">
        <v>29</v>
      </c>
      <c r="X507" s="32">
        <v>151</v>
      </c>
      <c r="Y507" s="32">
        <v>76</v>
      </c>
      <c r="Z507" s="32">
        <v>39</v>
      </c>
      <c r="AA507" s="32">
        <v>191</v>
      </c>
      <c r="AB507" s="32">
        <v>73</v>
      </c>
      <c r="AC507" s="32">
        <v>29</v>
      </c>
      <c r="AD507" s="32">
        <v>102</v>
      </c>
      <c r="AE507" s="32">
        <v>61</v>
      </c>
      <c r="AF507" s="32">
        <v>35</v>
      </c>
      <c r="AG507" s="32">
        <v>293</v>
      </c>
      <c r="AH507" s="32">
        <v>134</v>
      </c>
      <c r="AI507" s="32">
        <v>64</v>
      </c>
      <c r="AJ507" s="32">
        <v>293</v>
      </c>
      <c r="AK507" s="32">
        <v>996</v>
      </c>
      <c r="AL507" s="32">
        <v>29.4</v>
      </c>
    </row>
    <row r="508" spans="1:38" ht="13.5" hidden="1" customHeight="1">
      <c r="A508" s="30" t="s">
        <v>2272</v>
      </c>
      <c r="B508" s="30" t="s">
        <v>2273</v>
      </c>
      <c r="C508" s="30" t="s">
        <v>235</v>
      </c>
      <c r="D508" s="30" t="s">
        <v>2012</v>
      </c>
      <c r="E508" s="30" t="s">
        <v>2042</v>
      </c>
      <c r="F508" s="30" t="s">
        <v>2043</v>
      </c>
      <c r="G508" s="30"/>
      <c r="H508" s="30" t="s">
        <v>2640</v>
      </c>
      <c r="I508" s="30" t="s">
        <v>2015</v>
      </c>
      <c r="J508" s="30" t="s">
        <v>2015</v>
      </c>
      <c r="K508" s="30" t="s">
        <v>2018</v>
      </c>
      <c r="L508" s="30" t="s">
        <v>2017</v>
      </c>
      <c r="M508" s="30" t="s">
        <v>2018</v>
      </c>
      <c r="N508" s="30" t="s">
        <v>2018</v>
      </c>
      <c r="O508" s="30" t="s">
        <v>2015</v>
      </c>
      <c r="P508" s="32">
        <v>0</v>
      </c>
      <c r="Q508" s="32">
        <v>0</v>
      </c>
      <c r="R508" s="32">
        <v>0</v>
      </c>
      <c r="S508" s="32">
        <v>0</v>
      </c>
      <c r="T508" s="32">
        <v>0</v>
      </c>
      <c r="U508" s="32">
        <v>0</v>
      </c>
      <c r="V508" s="32">
        <v>0</v>
      </c>
      <c r="W508" s="32">
        <v>0</v>
      </c>
      <c r="X508" s="32">
        <v>0</v>
      </c>
      <c r="Y508" s="32">
        <v>0</v>
      </c>
      <c r="Z508" s="32">
        <v>0</v>
      </c>
      <c r="AA508" s="32">
        <v>0</v>
      </c>
      <c r="AB508" s="32">
        <v>0</v>
      </c>
      <c r="AC508" s="32">
        <v>0</v>
      </c>
      <c r="AD508" s="32">
        <v>0</v>
      </c>
      <c r="AE508" s="32">
        <v>0</v>
      </c>
      <c r="AF508" s="32">
        <v>0</v>
      </c>
      <c r="AG508" s="32">
        <v>0</v>
      </c>
      <c r="AH508" s="32">
        <v>0</v>
      </c>
      <c r="AI508" s="32">
        <v>0</v>
      </c>
      <c r="AJ508" s="32">
        <v>0</v>
      </c>
      <c r="AK508" s="32">
        <v>0</v>
      </c>
      <c r="AL508" s="32">
        <v>0</v>
      </c>
    </row>
    <row r="509" spans="1:38" ht="13.5" hidden="1" customHeight="1">
      <c r="A509" s="30" t="s">
        <v>2272</v>
      </c>
      <c r="B509" s="30" t="s">
        <v>2273</v>
      </c>
      <c r="C509" s="30" t="s">
        <v>235</v>
      </c>
      <c r="D509" s="30" t="s">
        <v>2012</v>
      </c>
      <c r="E509" s="30" t="s">
        <v>2042</v>
      </c>
      <c r="F509" s="30" t="s">
        <v>2043</v>
      </c>
      <c r="G509" s="30"/>
      <c r="H509" s="30" t="s">
        <v>2641</v>
      </c>
      <c r="I509" s="30" t="s">
        <v>2015</v>
      </c>
      <c r="J509" s="30" t="s">
        <v>2015</v>
      </c>
      <c r="K509" s="30" t="s">
        <v>2018</v>
      </c>
      <c r="L509" s="30" t="s">
        <v>2017</v>
      </c>
      <c r="M509" s="30" t="s">
        <v>2018</v>
      </c>
      <c r="N509" s="30" t="s">
        <v>2018</v>
      </c>
      <c r="O509" s="30" t="s">
        <v>2015</v>
      </c>
      <c r="P509" s="32">
        <v>2106</v>
      </c>
      <c r="Q509" s="32">
        <v>1554</v>
      </c>
      <c r="R509" s="32">
        <v>183</v>
      </c>
      <c r="S509" s="32">
        <v>81</v>
      </c>
      <c r="T509" s="32">
        <v>42</v>
      </c>
      <c r="U509" s="32">
        <v>158</v>
      </c>
      <c r="V509" s="32">
        <v>104</v>
      </c>
      <c r="W509" s="32">
        <v>65</v>
      </c>
      <c r="X509" s="32">
        <v>341</v>
      </c>
      <c r="Y509" s="32">
        <v>185</v>
      </c>
      <c r="Z509" s="32">
        <v>107</v>
      </c>
      <c r="AA509" s="32">
        <v>542</v>
      </c>
      <c r="AB509" s="32">
        <v>244</v>
      </c>
      <c r="AC509" s="32">
        <v>127</v>
      </c>
      <c r="AD509" s="32">
        <v>201</v>
      </c>
      <c r="AE509" s="32">
        <v>131</v>
      </c>
      <c r="AF509" s="32">
        <v>81</v>
      </c>
      <c r="AG509" s="32">
        <v>743</v>
      </c>
      <c r="AH509" s="32">
        <v>375</v>
      </c>
      <c r="AI509" s="32">
        <v>208</v>
      </c>
      <c r="AJ509" s="32">
        <v>743</v>
      </c>
      <c r="AK509" s="32">
        <v>2110</v>
      </c>
      <c r="AL509" s="32">
        <v>35.200000000000003</v>
      </c>
    </row>
    <row r="510" spans="1:38" ht="13.5" hidden="1" customHeight="1">
      <c r="A510" s="30" t="s">
        <v>2272</v>
      </c>
      <c r="B510" s="30" t="s">
        <v>2273</v>
      </c>
      <c r="C510" s="30" t="s">
        <v>235</v>
      </c>
      <c r="D510" s="30" t="s">
        <v>2012</v>
      </c>
      <c r="E510" s="30" t="s">
        <v>2042</v>
      </c>
      <c r="F510" s="30" t="s">
        <v>2043</v>
      </c>
      <c r="G510" s="30"/>
      <c r="H510" s="30" t="s">
        <v>2642</v>
      </c>
      <c r="I510" s="30" t="s">
        <v>2015</v>
      </c>
      <c r="J510" s="30" t="s">
        <v>2015</v>
      </c>
      <c r="K510" s="30" t="s">
        <v>2018</v>
      </c>
      <c r="L510" s="30" t="s">
        <v>2017</v>
      </c>
      <c r="M510" s="30" t="s">
        <v>2018</v>
      </c>
      <c r="N510" s="30" t="s">
        <v>2018</v>
      </c>
      <c r="O510" s="30" t="s">
        <v>2015</v>
      </c>
      <c r="P510" s="32">
        <v>3298</v>
      </c>
      <c r="Q510" s="32">
        <v>1475</v>
      </c>
      <c r="R510" s="32">
        <v>358</v>
      </c>
      <c r="S510" s="32">
        <v>195</v>
      </c>
      <c r="T510" s="32">
        <v>135</v>
      </c>
      <c r="U510" s="32">
        <v>244</v>
      </c>
      <c r="V510" s="32">
        <v>158</v>
      </c>
      <c r="W510" s="32">
        <v>84</v>
      </c>
      <c r="X510" s="32">
        <v>602</v>
      </c>
      <c r="Y510" s="32">
        <v>353</v>
      </c>
      <c r="Z510" s="32">
        <v>219</v>
      </c>
      <c r="AA510" s="32">
        <v>1123</v>
      </c>
      <c r="AB510" s="32">
        <v>606</v>
      </c>
      <c r="AC510" s="32">
        <v>427</v>
      </c>
      <c r="AD510" s="32">
        <v>281</v>
      </c>
      <c r="AE510" s="32">
        <v>184</v>
      </c>
      <c r="AF510" s="32">
        <v>97</v>
      </c>
      <c r="AG510" s="32">
        <v>1404</v>
      </c>
      <c r="AH510" s="32">
        <v>790</v>
      </c>
      <c r="AI510" s="32">
        <v>524</v>
      </c>
      <c r="AJ510" s="32">
        <v>1404</v>
      </c>
      <c r="AK510" s="32">
        <v>3277</v>
      </c>
      <c r="AL510" s="32">
        <v>42.8</v>
      </c>
    </row>
    <row r="511" spans="1:38" ht="13.5" hidden="1" customHeight="1">
      <c r="A511" s="30" t="s">
        <v>2272</v>
      </c>
      <c r="B511" s="30" t="s">
        <v>2273</v>
      </c>
      <c r="C511" s="30" t="s">
        <v>235</v>
      </c>
      <c r="D511" s="30" t="s">
        <v>2012</v>
      </c>
      <c r="E511" s="30" t="s">
        <v>2042</v>
      </c>
      <c r="F511" s="30" t="s">
        <v>2043</v>
      </c>
      <c r="G511" s="30"/>
      <c r="H511" s="30" t="s">
        <v>2643</v>
      </c>
      <c r="I511" s="30" t="s">
        <v>2015</v>
      </c>
      <c r="J511" s="30" t="s">
        <v>2015</v>
      </c>
      <c r="K511" s="30" t="s">
        <v>2018</v>
      </c>
      <c r="L511" s="30" t="s">
        <v>2017</v>
      </c>
      <c r="M511" s="30" t="s">
        <v>2018</v>
      </c>
      <c r="N511" s="30" t="s">
        <v>2018</v>
      </c>
      <c r="O511" s="30" t="s">
        <v>2015</v>
      </c>
      <c r="P511" s="32">
        <v>9100</v>
      </c>
      <c r="Q511" s="32">
        <v>3573</v>
      </c>
      <c r="R511" s="32">
        <v>848</v>
      </c>
      <c r="S511" s="32">
        <v>362</v>
      </c>
      <c r="T511" s="32">
        <v>150</v>
      </c>
      <c r="U511" s="32">
        <v>450</v>
      </c>
      <c r="V511" s="32">
        <v>292</v>
      </c>
      <c r="W511" s="32">
        <v>148</v>
      </c>
      <c r="X511" s="32">
        <v>1298</v>
      </c>
      <c r="Y511" s="32">
        <v>654</v>
      </c>
      <c r="Z511" s="32">
        <v>298</v>
      </c>
      <c r="AA511" s="32">
        <v>2696</v>
      </c>
      <c r="AB511" s="32">
        <v>1158</v>
      </c>
      <c r="AC511" s="32">
        <v>471</v>
      </c>
      <c r="AD511" s="32">
        <v>548</v>
      </c>
      <c r="AE511" s="32">
        <v>351</v>
      </c>
      <c r="AF511" s="32">
        <v>175</v>
      </c>
      <c r="AG511" s="32">
        <v>3244</v>
      </c>
      <c r="AH511" s="32">
        <v>1509</v>
      </c>
      <c r="AI511" s="32">
        <v>646</v>
      </c>
      <c r="AJ511" s="32">
        <v>3244</v>
      </c>
      <c r="AK511" s="32">
        <v>8958</v>
      </c>
      <c r="AL511" s="32">
        <v>36.200000000000003</v>
      </c>
    </row>
    <row r="512" spans="1:38" ht="13.5" hidden="1" customHeight="1">
      <c r="A512" s="30" t="s">
        <v>2272</v>
      </c>
      <c r="B512" s="30" t="s">
        <v>2273</v>
      </c>
      <c r="C512" s="30" t="s">
        <v>235</v>
      </c>
      <c r="D512" s="30" t="s">
        <v>2012</v>
      </c>
      <c r="E512" s="30" t="s">
        <v>2042</v>
      </c>
      <c r="F512" s="30" t="s">
        <v>2043</v>
      </c>
      <c r="G512" s="30"/>
      <c r="H512" s="30" t="s">
        <v>2644</v>
      </c>
      <c r="I512" s="30" t="s">
        <v>2015</v>
      </c>
      <c r="J512" s="30" t="s">
        <v>2015</v>
      </c>
      <c r="K512" s="30" t="s">
        <v>2018</v>
      </c>
      <c r="L512" s="30" t="s">
        <v>2017</v>
      </c>
      <c r="M512" s="30" t="s">
        <v>2018</v>
      </c>
      <c r="N512" s="30" t="s">
        <v>2018</v>
      </c>
      <c r="O512" s="30" t="s">
        <v>2015</v>
      </c>
      <c r="P512" s="32">
        <v>1798</v>
      </c>
      <c r="Q512" s="32">
        <v>983</v>
      </c>
      <c r="R512" s="32">
        <v>137</v>
      </c>
      <c r="S512" s="32">
        <v>50</v>
      </c>
      <c r="T512" s="32">
        <v>24</v>
      </c>
      <c r="U512" s="32">
        <v>129</v>
      </c>
      <c r="V512" s="32">
        <v>67</v>
      </c>
      <c r="W512" s="32">
        <v>34</v>
      </c>
      <c r="X512" s="32">
        <v>266</v>
      </c>
      <c r="Y512" s="32">
        <v>117</v>
      </c>
      <c r="Z512" s="32">
        <v>58</v>
      </c>
      <c r="AA512" s="32">
        <v>405</v>
      </c>
      <c r="AB512" s="32">
        <v>149</v>
      </c>
      <c r="AC512" s="32">
        <v>72</v>
      </c>
      <c r="AD512" s="32">
        <v>158</v>
      </c>
      <c r="AE512" s="32">
        <v>82</v>
      </c>
      <c r="AF512" s="32">
        <v>41</v>
      </c>
      <c r="AG512" s="32">
        <v>563</v>
      </c>
      <c r="AH512" s="32">
        <v>231</v>
      </c>
      <c r="AI512" s="32">
        <v>113</v>
      </c>
      <c r="AJ512" s="32">
        <v>563</v>
      </c>
      <c r="AK512" s="32">
        <v>1792</v>
      </c>
      <c r="AL512" s="32">
        <v>31.4</v>
      </c>
    </row>
    <row r="513" spans="1:38" ht="13.5" hidden="1" customHeight="1">
      <c r="A513" s="30" t="s">
        <v>2272</v>
      </c>
      <c r="B513" s="30" t="s">
        <v>2273</v>
      </c>
      <c r="C513" s="30" t="s">
        <v>235</v>
      </c>
      <c r="D513" s="30" t="s">
        <v>2012</v>
      </c>
      <c r="E513" s="30" t="s">
        <v>2042</v>
      </c>
      <c r="F513" s="30" t="s">
        <v>2043</v>
      </c>
      <c r="G513" s="30"/>
      <c r="H513" s="30" t="s">
        <v>2645</v>
      </c>
      <c r="I513" s="30" t="s">
        <v>2015</v>
      </c>
      <c r="J513" s="30" t="s">
        <v>2015</v>
      </c>
      <c r="K513" s="30" t="s">
        <v>2018</v>
      </c>
      <c r="L513" s="30" t="s">
        <v>2017</v>
      </c>
      <c r="M513" s="30" t="s">
        <v>2018</v>
      </c>
      <c r="N513" s="30" t="s">
        <v>2018</v>
      </c>
      <c r="O513" s="30" t="s">
        <v>2015</v>
      </c>
      <c r="P513" s="32">
        <v>2810</v>
      </c>
      <c r="Q513" s="32">
        <v>1210</v>
      </c>
      <c r="R513" s="32">
        <v>304</v>
      </c>
      <c r="S513" s="32">
        <v>114</v>
      </c>
      <c r="T513" s="32">
        <v>52</v>
      </c>
      <c r="U513" s="32">
        <v>160</v>
      </c>
      <c r="V513" s="32">
        <v>107</v>
      </c>
      <c r="W513" s="32">
        <v>39</v>
      </c>
      <c r="X513" s="32">
        <v>464</v>
      </c>
      <c r="Y513" s="32">
        <v>221</v>
      </c>
      <c r="Z513" s="32">
        <v>91</v>
      </c>
      <c r="AA513" s="32">
        <v>906</v>
      </c>
      <c r="AB513" s="32">
        <v>337</v>
      </c>
      <c r="AC513" s="32">
        <v>153</v>
      </c>
      <c r="AD513" s="32">
        <v>190</v>
      </c>
      <c r="AE513" s="32">
        <v>126</v>
      </c>
      <c r="AF513" s="32">
        <v>48</v>
      </c>
      <c r="AG513" s="32">
        <v>1096</v>
      </c>
      <c r="AH513" s="32">
        <v>463</v>
      </c>
      <c r="AI513" s="32">
        <v>201</v>
      </c>
      <c r="AJ513" s="32">
        <v>1096</v>
      </c>
      <c r="AK513" s="32">
        <v>2810</v>
      </c>
      <c r="AL513" s="32">
        <v>39</v>
      </c>
    </row>
    <row r="514" spans="1:38" ht="13.5" hidden="1" customHeight="1">
      <c r="A514" s="30" t="s">
        <v>2272</v>
      </c>
      <c r="B514" s="30" t="s">
        <v>2273</v>
      </c>
      <c r="C514" s="30" t="s">
        <v>235</v>
      </c>
      <c r="D514" s="30" t="s">
        <v>2012</v>
      </c>
      <c r="E514" s="30" t="s">
        <v>2044</v>
      </c>
      <c r="F514" s="30" t="s">
        <v>2045</v>
      </c>
      <c r="G514" s="30"/>
      <c r="H514" s="30" t="s">
        <v>2646</v>
      </c>
      <c r="I514" s="30" t="s">
        <v>2015</v>
      </c>
      <c r="J514" s="30" t="s">
        <v>2015</v>
      </c>
      <c r="K514" s="30" t="s">
        <v>2018</v>
      </c>
      <c r="L514" s="30" t="s">
        <v>2017</v>
      </c>
      <c r="M514" s="30" t="s">
        <v>2018</v>
      </c>
      <c r="N514" s="30" t="s">
        <v>2018</v>
      </c>
      <c r="O514" s="30" t="s">
        <v>2015</v>
      </c>
      <c r="P514" s="32">
        <v>2583</v>
      </c>
      <c r="Q514" s="32">
        <v>1193</v>
      </c>
      <c r="R514" s="32">
        <v>351</v>
      </c>
      <c r="S514" s="32">
        <v>200</v>
      </c>
      <c r="T514" s="32">
        <v>73</v>
      </c>
      <c r="U514" s="32">
        <v>269</v>
      </c>
      <c r="V514" s="32">
        <v>211</v>
      </c>
      <c r="W514" s="32">
        <v>145</v>
      </c>
      <c r="X514" s="32">
        <v>620</v>
      </c>
      <c r="Y514" s="32">
        <v>411</v>
      </c>
      <c r="Z514" s="32">
        <v>218</v>
      </c>
      <c r="AA514" s="32">
        <v>1096</v>
      </c>
      <c r="AB514" s="32">
        <v>625</v>
      </c>
      <c r="AC514" s="32">
        <v>228</v>
      </c>
      <c r="AD514" s="32">
        <v>335</v>
      </c>
      <c r="AE514" s="32">
        <v>264</v>
      </c>
      <c r="AF514" s="32">
        <v>182</v>
      </c>
      <c r="AG514" s="32">
        <v>1431</v>
      </c>
      <c r="AH514" s="32">
        <v>889</v>
      </c>
      <c r="AI514" s="32">
        <v>410</v>
      </c>
      <c r="AJ514" s="32">
        <v>1431</v>
      </c>
      <c r="AK514" s="32">
        <v>2574</v>
      </c>
      <c r="AL514" s="32">
        <v>55.6</v>
      </c>
    </row>
    <row r="515" spans="1:38" ht="13.5" hidden="1" customHeight="1">
      <c r="A515" s="30" t="s">
        <v>2272</v>
      </c>
      <c r="B515" s="30" t="s">
        <v>2273</v>
      </c>
      <c r="C515" s="30" t="s">
        <v>235</v>
      </c>
      <c r="D515" s="30" t="s">
        <v>2012</v>
      </c>
      <c r="E515" s="30" t="s">
        <v>2044</v>
      </c>
      <c r="F515" s="30" t="s">
        <v>2045</v>
      </c>
      <c r="G515" s="30"/>
      <c r="H515" s="30" t="s">
        <v>2647</v>
      </c>
      <c r="I515" s="30" t="s">
        <v>2015</v>
      </c>
      <c r="J515" s="30" t="s">
        <v>2015</v>
      </c>
      <c r="K515" s="30" t="s">
        <v>2018</v>
      </c>
      <c r="L515" s="30" t="s">
        <v>2017</v>
      </c>
      <c r="M515" s="30" t="s">
        <v>2018</v>
      </c>
      <c r="N515" s="30" t="s">
        <v>2018</v>
      </c>
      <c r="O515" s="30" t="s">
        <v>2015</v>
      </c>
      <c r="P515" s="32">
        <v>847</v>
      </c>
      <c r="Q515" s="32">
        <v>484</v>
      </c>
      <c r="R515" s="32">
        <v>103</v>
      </c>
      <c r="S515" s="32">
        <v>61</v>
      </c>
      <c r="T515" s="32">
        <v>30</v>
      </c>
      <c r="U515" s="32">
        <v>79</v>
      </c>
      <c r="V515" s="32">
        <v>53</v>
      </c>
      <c r="W515" s="32">
        <v>35</v>
      </c>
      <c r="X515" s="32">
        <v>182</v>
      </c>
      <c r="Y515" s="32">
        <v>114</v>
      </c>
      <c r="Z515" s="32">
        <v>65</v>
      </c>
      <c r="AA515" s="32">
        <v>309</v>
      </c>
      <c r="AB515" s="32">
        <v>183</v>
      </c>
      <c r="AC515" s="32">
        <v>90</v>
      </c>
      <c r="AD515" s="32">
        <v>103</v>
      </c>
      <c r="AE515" s="32">
        <v>69</v>
      </c>
      <c r="AF515" s="32">
        <v>46</v>
      </c>
      <c r="AG515" s="32">
        <v>412</v>
      </c>
      <c r="AH515" s="32">
        <v>252</v>
      </c>
      <c r="AI515" s="32">
        <v>136</v>
      </c>
      <c r="AJ515" s="32">
        <v>412</v>
      </c>
      <c r="AK515" s="32">
        <v>813</v>
      </c>
      <c r="AL515" s="32">
        <v>50.7</v>
      </c>
    </row>
    <row r="516" spans="1:38" ht="13.5" hidden="1" customHeight="1">
      <c r="A516" s="30" t="s">
        <v>2272</v>
      </c>
      <c r="B516" s="30" t="s">
        <v>2273</v>
      </c>
      <c r="C516" s="30" t="s">
        <v>235</v>
      </c>
      <c r="D516" s="30" t="s">
        <v>2012</v>
      </c>
      <c r="E516" s="30" t="s">
        <v>2044</v>
      </c>
      <c r="F516" s="30" t="s">
        <v>2045</v>
      </c>
      <c r="G516" s="30"/>
      <c r="H516" s="30" t="s">
        <v>2648</v>
      </c>
      <c r="I516" s="30" t="s">
        <v>2015</v>
      </c>
      <c r="J516" s="30" t="s">
        <v>2015</v>
      </c>
      <c r="K516" s="30" t="s">
        <v>2018</v>
      </c>
      <c r="L516" s="30" t="s">
        <v>2017</v>
      </c>
      <c r="M516" s="30" t="s">
        <v>2018</v>
      </c>
      <c r="N516" s="30" t="s">
        <v>2018</v>
      </c>
      <c r="O516" s="30" t="s">
        <v>2015</v>
      </c>
      <c r="P516" s="32">
        <v>989</v>
      </c>
      <c r="Q516" s="32">
        <v>619</v>
      </c>
      <c r="R516" s="32">
        <v>128</v>
      </c>
      <c r="S516" s="32">
        <v>61</v>
      </c>
      <c r="T516" s="32">
        <v>34</v>
      </c>
      <c r="U516" s="32">
        <v>105</v>
      </c>
      <c r="V516" s="32">
        <v>81</v>
      </c>
      <c r="W516" s="32">
        <v>50</v>
      </c>
      <c r="X516" s="32">
        <v>233</v>
      </c>
      <c r="Y516" s="32">
        <v>142</v>
      </c>
      <c r="Z516" s="32">
        <v>84</v>
      </c>
      <c r="AA516" s="32">
        <v>372</v>
      </c>
      <c r="AB516" s="32">
        <v>177</v>
      </c>
      <c r="AC516" s="32">
        <v>99</v>
      </c>
      <c r="AD516" s="32">
        <v>126</v>
      </c>
      <c r="AE516" s="32">
        <v>97</v>
      </c>
      <c r="AF516" s="32">
        <v>60</v>
      </c>
      <c r="AG516" s="32">
        <v>498</v>
      </c>
      <c r="AH516" s="32">
        <v>274</v>
      </c>
      <c r="AI516" s="32">
        <v>159</v>
      </c>
      <c r="AJ516" s="32">
        <v>498</v>
      </c>
      <c r="AK516" s="32">
        <v>964</v>
      </c>
      <c r="AL516" s="32">
        <v>51.7</v>
      </c>
    </row>
    <row r="517" spans="1:38" ht="13.5" hidden="1" customHeight="1">
      <c r="A517" s="30" t="s">
        <v>2272</v>
      </c>
      <c r="B517" s="30" t="s">
        <v>2273</v>
      </c>
      <c r="C517" s="30" t="s">
        <v>235</v>
      </c>
      <c r="D517" s="30" t="s">
        <v>2012</v>
      </c>
      <c r="E517" s="30" t="s">
        <v>2044</v>
      </c>
      <c r="F517" s="30" t="s">
        <v>2045</v>
      </c>
      <c r="G517" s="30"/>
      <c r="H517" s="30" t="s">
        <v>2649</v>
      </c>
      <c r="I517" s="30" t="s">
        <v>2015</v>
      </c>
      <c r="J517" s="30" t="s">
        <v>2015</v>
      </c>
      <c r="K517" s="30" t="s">
        <v>2018</v>
      </c>
      <c r="L517" s="30" t="s">
        <v>2017</v>
      </c>
      <c r="M517" s="30" t="s">
        <v>2018</v>
      </c>
      <c r="N517" s="30" t="s">
        <v>2018</v>
      </c>
      <c r="O517" s="30" t="s">
        <v>2015</v>
      </c>
      <c r="P517" s="32">
        <v>86</v>
      </c>
      <c r="Q517" s="32">
        <v>76</v>
      </c>
      <c r="R517" s="32">
        <v>17</v>
      </c>
      <c r="S517" s="32">
        <v>4</v>
      </c>
      <c r="T517" s="32">
        <v>2</v>
      </c>
      <c r="U517" s="32">
        <v>8</v>
      </c>
      <c r="V517" s="32">
        <v>7</v>
      </c>
      <c r="W517" s="32">
        <v>5</v>
      </c>
      <c r="X517" s="32">
        <v>25</v>
      </c>
      <c r="Y517" s="32">
        <v>11</v>
      </c>
      <c r="Z517" s="32">
        <v>7</v>
      </c>
      <c r="AA517" s="32">
        <v>48</v>
      </c>
      <c r="AB517" s="32">
        <v>11</v>
      </c>
      <c r="AC517" s="32">
        <v>6</v>
      </c>
      <c r="AD517" s="32">
        <v>10</v>
      </c>
      <c r="AE517" s="32">
        <v>8</v>
      </c>
      <c r="AF517" s="32">
        <v>6</v>
      </c>
      <c r="AG517" s="32">
        <v>58</v>
      </c>
      <c r="AH517" s="32">
        <v>19</v>
      </c>
      <c r="AI517" s="32">
        <v>12</v>
      </c>
      <c r="AJ517" s="32">
        <v>58</v>
      </c>
      <c r="AK517" s="32">
        <v>96</v>
      </c>
      <c r="AL517" s="32">
        <v>60.4</v>
      </c>
    </row>
    <row r="518" spans="1:38" ht="13.5" hidden="1" customHeight="1">
      <c r="A518" s="30" t="s">
        <v>2272</v>
      </c>
      <c r="B518" s="30" t="s">
        <v>2273</v>
      </c>
      <c r="C518" s="30" t="s">
        <v>235</v>
      </c>
      <c r="D518" s="30" t="s">
        <v>2012</v>
      </c>
      <c r="E518" s="30" t="s">
        <v>2044</v>
      </c>
      <c r="F518" s="30" t="s">
        <v>2045</v>
      </c>
      <c r="G518" s="30"/>
      <c r="H518" s="30" t="s">
        <v>2650</v>
      </c>
      <c r="I518" s="30" t="s">
        <v>2015</v>
      </c>
      <c r="J518" s="30" t="s">
        <v>2015</v>
      </c>
      <c r="K518" s="30" t="s">
        <v>2018</v>
      </c>
      <c r="L518" s="30" t="s">
        <v>2017</v>
      </c>
      <c r="M518" s="30" t="s">
        <v>2018</v>
      </c>
      <c r="N518" s="30" t="s">
        <v>2018</v>
      </c>
      <c r="O518" s="30" t="s">
        <v>2015</v>
      </c>
      <c r="P518" s="32">
        <v>492</v>
      </c>
      <c r="Q518" s="32">
        <v>229</v>
      </c>
      <c r="R518" s="32">
        <v>96</v>
      </c>
      <c r="S518" s="32">
        <v>44</v>
      </c>
      <c r="T518" s="32">
        <v>17</v>
      </c>
      <c r="U518" s="32">
        <v>29</v>
      </c>
      <c r="V518" s="32">
        <v>19</v>
      </c>
      <c r="W518" s="32">
        <v>9</v>
      </c>
      <c r="X518" s="32">
        <v>125</v>
      </c>
      <c r="Y518" s="32">
        <v>63</v>
      </c>
      <c r="Z518" s="32">
        <v>26</v>
      </c>
      <c r="AA518" s="32">
        <v>298</v>
      </c>
      <c r="AB518" s="32">
        <v>136</v>
      </c>
      <c r="AC518" s="32">
        <v>53</v>
      </c>
      <c r="AD518" s="32">
        <v>38</v>
      </c>
      <c r="AE518" s="32">
        <v>25</v>
      </c>
      <c r="AF518" s="32">
        <v>12</v>
      </c>
      <c r="AG518" s="32">
        <v>336</v>
      </c>
      <c r="AH518" s="32">
        <v>161</v>
      </c>
      <c r="AI518" s="32">
        <v>65</v>
      </c>
      <c r="AJ518" s="32">
        <v>336</v>
      </c>
      <c r="AK518" s="32">
        <v>547</v>
      </c>
      <c r="AL518" s="32">
        <v>61.4</v>
      </c>
    </row>
    <row r="519" spans="1:38" ht="13.5" hidden="1" customHeight="1">
      <c r="A519" s="30" t="s">
        <v>2272</v>
      </c>
      <c r="B519" s="30" t="s">
        <v>2273</v>
      </c>
      <c r="C519" s="30" t="s">
        <v>235</v>
      </c>
      <c r="D519" s="30" t="s">
        <v>2012</v>
      </c>
      <c r="E519" s="30" t="s">
        <v>2044</v>
      </c>
      <c r="F519" s="30" t="s">
        <v>2045</v>
      </c>
      <c r="G519" s="30"/>
      <c r="H519" s="30" t="s">
        <v>2651</v>
      </c>
      <c r="I519" s="30" t="s">
        <v>2015</v>
      </c>
      <c r="J519" s="30" t="s">
        <v>2015</v>
      </c>
      <c r="K519" s="30" t="s">
        <v>2018</v>
      </c>
      <c r="L519" s="30" t="s">
        <v>2017</v>
      </c>
      <c r="M519" s="30" t="s">
        <v>2018</v>
      </c>
      <c r="N519" s="30" t="s">
        <v>2018</v>
      </c>
      <c r="O519" s="30" t="s">
        <v>2015</v>
      </c>
      <c r="P519" s="32">
        <v>2017</v>
      </c>
      <c r="Q519" s="32">
        <v>979</v>
      </c>
      <c r="R519" s="32">
        <v>280</v>
      </c>
      <c r="S519" s="32">
        <v>153</v>
      </c>
      <c r="T519" s="32">
        <v>75</v>
      </c>
      <c r="U519" s="32">
        <v>122</v>
      </c>
      <c r="V519" s="32">
        <v>91</v>
      </c>
      <c r="W519" s="32">
        <v>60</v>
      </c>
      <c r="X519" s="32">
        <v>402</v>
      </c>
      <c r="Y519" s="32">
        <v>244</v>
      </c>
      <c r="Z519" s="32">
        <v>135</v>
      </c>
      <c r="AA519" s="32">
        <v>840</v>
      </c>
      <c r="AB519" s="32">
        <v>459</v>
      </c>
      <c r="AC519" s="32">
        <v>225</v>
      </c>
      <c r="AD519" s="32">
        <v>171</v>
      </c>
      <c r="AE519" s="32">
        <v>127</v>
      </c>
      <c r="AF519" s="32">
        <v>84</v>
      </c>
      <c r="AG519" s="32">
        <v>1011</v>
      </c>
      <c r="AH519" s="32">
        <v>586</v>
      </c>
      <c r="AI519" s="32">
        <v>309</v>
      </c>
      <c r="AJ519" s="32">
        <v>1011</v>
      </c>
      <c r="AK519" s="32">
        <v>2017</v>
      </c>
      <c r="AL519" s="32">
        <v>50.1</v>
      </c>
    </row>
    <row r="520" spans="1:38" ht="13.5" hidden="1" customHeight="1">
      <c r="A520" s="30" t="s">
        <v>2272</v>
      </c>
      <c r="B520" s="30" t="s">
        <v>2273</v>
      </c>
      <c r="C520" s="30" t="s">
        <v>235</v>
      </c>
      <c r="D520" s="30" t="s">
        <v>2012</v>
      </c>
      <c r="E520" s="30" t="s">
        <v>2044</v>
      </c>
      <c r="F520" s="30" t="s">
        <v>2045</v>
      </c>
      <c r="G520" s="30"/>
      <c r="H520" s="30" t="s">
        <v>2652</v>
      </c>
      <c r="I520" s="30" t="s">
        <v>2015</v>
      </c>
      <c r="J520" s="30" t="s">
        <v>2015</v>
      </c>
      <c r="K520" s="30" t="s">
        <v>2018</v>
      </c>
      <c r="L520" s="30" t="s">
        <v>2017</v>
      </c>
      <c r="M520" s="30" t="s">
        <v>2018</v>
      </c>
      <c r="N520" s="30" t="s">
        <v>2018</v>
      </c>
      <c r="O520" s="30" t="s">
        <v>2015</v>
      </c>
      <c r="P520" s="32">
        <v>108</v>
      </c>
      <c r="Q520" s="32">
        <v>202</v>
      </c>
      <c r="R520" s="32">
        <v>8</v>
      </c>
      <c r="S520" s="32">
        <v>3</v>
      </c>
      <c r="T520" s="32">
        <v>0</v>
      </c>
      <c r="U520" s="32">
        <v>3</v>
      </c>
      <c r="V520" s="32">
        <v>2</v>
      </c>
      <c r="W520" s="32">
        <v>2</v>
      </c>
      <c r="X520" s="32">
        <v>11</v>
      </c>
      <c r="Y520" s="32">
        <v>5</v>
      </c>
      <c r="Z520" s="32">
        <v>2</v>
      </c>
      <c r="AA520" s="32">
        <v>25</v>
      </c>
      <c r="AB520" s="32">
        <v>9</v>
      </c>
      <c r="AC520" s="32">
        <v>0</v>
      </c>
      <c r="AD520" s="32">
        <v>6</v>
      </c>
      <c r="AE520" s="32">
        <v>4</v>
      </c>
      <c r="AF520" s="32">
        <v>4</v>
      </c>
      <c r="AG520" s="32">
        <v>31</v>
      </c>
      <c r="AH520" s="32">
        <v>13</v>
      </c>
      <c r="AI520" s="32">
        <v>4</v>
      </c>
      <c r="AJ520" s="32">
        <v>31</v>
      </c>
      <c r="AK520" s="32">
        <v>124</v>
      </c>
      <c r="AL520" s="32">
        <v>25</v>
      </c>
    </row>
    <row r="521" spans="1:38" ht="13.5" hidden="1" customHeight="1">
      <c r="A521" s="30" t="s">
        <v>2272</v>
      </c>
      <c r="B521" s="30" t="s">
        <v>2273</v>
      </c>
      <c r="C521" s="30" t="s">
        <v>235</v>
      </c>
      <c r="D521" s="30" t="s">
        <v>2012</v>
      </c>
      <c r="E521" s="30" t="s">
        <v>2044</v>
      </c>
      <c r="F521" s="30" t="s">
        <v>2045</v>
      </c>
      <c r="G521" s="30"/>
      <c r="H521" s="30" t="s">
        <v>2653</v>
      </c>
      <c r="I521" s="30" t="s">
        <v>2015</v>
      </c>
      <c r="J521" s="30" t="s">
        <v>2015</v>
      </c>
      <c r="K521" s="30" t="s">
        <v>2018</v>
      </c>
      <c r="L521" s="30" t="s">
        <v>2017</v>
      </c>
      <c r="M521" s="30" t="s">
        <v>2018</v>
      </c>
      <c r="N521" s="30" t="s">
        <v>2018</v>
      </c>
      <c r="O521" s="30" t="s">
        <v>2015</v>
      </c>
      <c r="P521" s="32">
        <v>336</v>
      </c>
      <c r="Q521" s="32">
        <v>343</v>
      </c>
      <c r="R521" s="32">
        <v>47</v>
      </c>
      <c r="S521" s="32">
        <v>22</v>
      </c>
      <c r="T521" s="32">
        <v>8</v>
      </c>
      <c r="U521" s="32">
        <v>42</v>
      </c>
      <c r="V521" s="32">
        <v>25</v>
      </c>
      <c r="W521" s="32">
        <v>14</v>
      </c>
      <c r="X521" s="32">
        <v>89</v>
      </c>
      <c r="Y521" s="32">
        <v>47</v>
      </c>
      <c r="Z521" s="32">
        <v>22</v>
      </c>
      <c r="AA521" s="32">
        <v>132</v>
      </c>
      <c r="AB521" s="32">
        <v>62</v>
      </c>
      <c r="AC521" s="32">
        <v>22</v>
      </c>
      <c r="AD521" s="32">
        <v>55</v>
      </c>
      <c r="AE521" s="32">
        <v>33</v>
      </c>
      <c r="AF521" s="32">
        <v>18</v>
      </c>
      <c r="AG521" s="32">
        <v>187</v>
      </c>
      <c r="AH521" s="32">
        <v>95</v>
      </c>
      <c r="AI521" s="32">
        <v>40</v>
      </c>
      <c r="AJ521" s="32">
        <v>187</v>
      </c>
      <c r="AK521" s="32">
        <v>321</v>
      </c>
      <c r="AL521" s="32">
        <v>58.3</v>
      </c>
    </row>
    <row r="522" spans="1:38" ht="13.5" hidden="1" customHeight="1">
      <c r="A522" s="30" t="s">
        <v>2272</v>
      </c>
      <c r="B522" s="30" t="s">
        <v>2273</v>
      </c>
      <c r="C522" s="30" t="s">
        <v>235</v>
      </c>
      <c r="D522" s="30" t="s">
        <v>2012</v>
      </c>
      <c r="E522" s="30" t="s">
        <v>2044</v>
      </c>
      <c r="F522" s="30" t="s">
        <v>2045</v>
      </c>
      <c r="G522" s="30"/>
      <c r="H522" s="30" t="s">
        <v>2654</v>
      </c>
      <c r="I522" s="30" t="s">
        <v>2015</v>
      </c>
      <c r="J522" s="30" t="s">
        <v>2015</v>
      </c>
      <c r="K522" s="30" t="s">
        <v>2018</v>
      </c>
      <c r="L522" s="30" t="s">
        <v>2017</v>
      </c>
      <c r="M522" s="30" t="s">
        <v>2018</v>
      </c>
      <c r="N522" s="30" t="s">
        <v>2018</v>
      </c>
      <c r="O522" s="30" t="s">
        <v>2015</v>
      </c>
      <c r="P522" s="32">
        <v>1208</v>
      </c>
      <c r="Q522" s="32">
        <v>515</v>
      </c>
      <c r="R522" s="32">
        <v>124</v>
      </c>
      <c r="S522" s="32">
        <v>61</v>
      </c>
      <c r="T522" s="32">
        <v>20</v>
      </c>
      <c r="U522" s="32">
        <v>62</v>
      </c>
      <c r="V522" s="32">
        <v>36</v>
      </c>
      <c r="W522" s="32">
        <v>16</v>
      </c>
      <c r="X522" s="32">
        <v>186</v>
      </c>
      <c r="Y522" s="32">
        <v>97</v>
      </c>
      <c r="Z522" s="32">
        <v>36</v>
      </c>
      <c r="AA522" s="32">
        <v>384</v>
      </c>
      <c r="AB522" s="32">
        <v>189</v>
      </c>
      <c r="AC522" s="32">
        <v>62</v>
      </c>
      <c r="AD522" s="32">
        <v>81</v>
      </c>
      <c r="AE522" s="32">
        <v>47</v>
      </c>
      <c r="AF522" s="32">
        <v>21</v>
      </c>
      <c r="AG522" s="32">
        <v>465</v>
      </c>
      <c r="AH522" s="32">
        <v>236</v>
      </c>
      <c r="AI522" s="32">
        <v>83</v>
      </c>
      <c r="AJ522" s="32">
        <v>465</v>
      </c>
      <c r="AK522" s="32">
        <v>1208</v>
      </c>
      <c r="AL522" s="32">
        <v>38.5</v>
      </c>
    </row>
    <row r="523" spans="1:38" ht="13.5" hidden="1" customHeight="1">
      <c r="A523" s="30" t="s">
        <v>2272</v>
      </c>
      <c r="B523" s="30" t="s">
        <v>2273</v>
      </c>
      <c r="C523" s="30" t="s">
        <v>235</v>
      </c>
      <c r="D523" s="30" t="s">
        <v>2012</v>
      </c>
      <c r="E523" s="30" t="s">
        <v>2044</v>
      </c>
      <c r="F523" s="30" t="s">
        <v>2045</v>
      </c>
      <c r="G523" s="30"/>
      <c r="H523" s="30" t="s">
        <v>2655</v>
      </c>
      <c r="I523" s="30" t="s">
        <v>2015</v>
      </c>
      <c r="J523" s="30" t="s">
        <v>2015</v>
      </c>
      <c r="K523" s="30" t="s">
        <v>2018</v>
      </c>
      <c r="L523" s="30" t="s">
        <v>2017</v>
      </c>
      <c r="M523" s="30" t="s">
        <v>2018</v>
      </c>
      <c r="N523" s="30" t="s">
        <v>2018</v>
      </c>
      <c r="O523" s="30" t="s">
        <v>2015</v>
      </c>
      <c r="P523" s="32">
        <v>30</v>
      </c>
      <c r="Q523" s="32">
        <v>38</v>
      </c>
      <c r="R523" s="32">
        <v>0</v>
      </c>
      <c r="S523" s="32">
        <v>0</v>
      </c>
      <c r="T523" s="32">
        <v>0</v>
      </c>
      <c r="U523" s="32">
        <v>0</v>
      </c>
      <c r="V523" s="32">
        <v>0</v>
      </c>
      <c r="W523" s="32">
        <v>0</v>
      </c>
      <c r="X523" s="32">
        <v>0</v>
      </c>
      <c r="Y523" s="32">
        <v>0</v>
      </c>
      <c r="Z523" s="32">
        <v>0</v>
      </c>
      <c r="AA523" s="32">
        <v>0</v>
      </c>
      <c r="AB523" s="32">
        <v>0</v>
      </c>
      <c r="AC523" s="32">
        <v>0</v>
      </c>
      <c r="AD523" s="32">
        <v>0</v>
      </c>
      <c r="AE523" s="32">
        <v>0</v>
      </c>
      <c r="AF523" s="32">
        <v>0</v>
      </c>
      <c r="AG523" s="32">
        <v>0</v>
      </c>
      <c r="AH523" s="32">
        <v>0</v>
      </c>
      <c r="AI523" s="32">
        <v>0</v>
      </c>
      <c r="AJ523" s="32">
        <v>0</v>
      </c>
      <c r="AK523" s="32">
        <v>33</v>
      </c>
      <c r="AL523" s="32">
        <v>0</v>
      </c>
    </row>
    <row r="524" spans="1:38" ht="13.5" hidden="1" customHeight="1">
      <c r="A524" s="30" t="s">
        <v>2272</v>
      </c>
      <c r="B524" s="30" t="s">
        <v>2273</v>
      </c>
      <c r="C524" s="30" t="s">
        <v>235</v>
      </c>
      <c r="D524" s="30" t="s">
        <v>2012</v>
      </c>
      <c r="E524" s="30" t="s">
        <v>2044</v>
      </c>
      <c r="F524" s="30" t="s">
        <v>2045</v>
      </c>
      <c r="G524" s="30"/>
      <c r="H524" s="30" t="s">
        <v>2656</v>
      </c>
      <c r="I524" s="30" t="s">
        <v>2015</v>
      </c>
      <c r="J524" s="30" t="s">
        <v>2015</v>
      </c>
      <c r="K524" s="30" t="s">
        <v>2018</v>
      </c>
      <c r="L524" s="30" t="s">
        <v>2017</v>
      </c>
      <c r="M524" s="30" t="s">
        <v>2018</v>
      </c>
      <c r="N524" s="30" t="s">
        <v>2018</v>
      </c>
      <c r="O524" s="30" t="s">
        <v>2015</v>
      </c>
      <c r="P524" s="32">
        <v>816</v>
      </c>
      <c r="Q524" s="32">
        <v>362</v>
      </c>
      <c r="R524" s="32">
        <v>91</v>
      </c>
      <c r="S524" s="32">
        <v>47</v>
      </c>
      <c r="T524" s="32">
        <v>16</v>
      </c>
      <c r="U524" s="32">
        <v>69</v>
      </c>
      <c r="V524" s="32">
        <v>50</v>
      </c>
      <c r="W524" s="32">
        <v>33</v>
      </c>
      <c r="X524" s="32">
        <v>160</v>
      </c>
      <c r="Y524" s="32">
        <v>97</v>
      </c>
      <c r="Z524" s="32">
        <v>49</v>
      </c>
      <c r="AA524" s="32">
        <v>273</v>
      </c>
      <c r="AB524" s="32">
        <v>141</v>
      </c>
      <c r="AC524" s="32">
        <v>48</v>
      </c>
      <c r="AD524" s="32">
        <v>90</v>
      </c>
      <c r="AE524" s="32">
        <v>65</v>
      </c>
      <c r="AF524" s="32">
        <v>43</v>
      </c>
      <c r="AG524" s="32">
        <v>363</v>
      </c>
      <c r="AH524" s="32">
        <v>206</v>
      </c>
      <c r="AI524" s="32">
        <v>91</v>
      </c>
      <c r="AJ524" s="32">
        <v>363</v>
      </c>
      <c r="AK524" s="32">
        <v>790</v>
      </c>
      <c r="AL524" s="32">
        <v>45.9</v>
      </c>
    </row>
    <row r="525" spans="1:38" ht="13.5" hidden="1" customHeight="1">
      <c r="A525" s="30" t="s">
        <v>2272</v>
      </c>
      <c r="B525" s="30" t="s">
        <v>2273</v>
      </c>
      <c r="C525" s="30" t="s">
        <v>235</v>
      </c>
      <c r="D525" s="30" t="s">
        <v>2012</v>
      </c>
      <c r="E525" s="30" t="s">
        <v>2044</v>
      </c>
      <c r="F525" s="30" t="s">
        <v>2045</v>
      </c>
      <c r="G525" s="30"/>
      <c r="H525" s="30" t="s">
        <v>2657</v>
      </c>
      <c r="I525" s="30" t="s">
        <v>2015</v>
      </c>
      <c r="J525" s="30" t="s">
        <v>2015</v>
      </c>
      <c r="K525" s="30" t="s">
        <v>2018</v>
      </c>
      <c r="L525" s="30" t="s">
        <v>2017</v>
      </c>
      <c r="M525" s="30" t="s">
        <v>2018</v>
      </c>
      <c r="N525" s="30" t="s">
        <v>2018</v>
      </c>
      <c r="O525" s="30" t="s">
        <v>2015</v>
      </c>
      <c r="P525" s="32">
        <v>881</v>
      </c>
      <c r="Q525" s="32">
        <v>893</v>
      </c>
      <c r="R525" s="32">
        <v>92</v>
      </c>
      <c r="S525" s="32">
        <v>43</v>
      </c>
      <c r="T525" s="32">
        <v>22</v>
      </c>
      <c r="U525" s="32">
        <v>87</v>
      </c>
      <c r="V525" s="32">
        <v>53</v>
      </c>
      <c r="W525" s="32">
        <v>33</v>
      </c>
      <c r="X525" s="32">
        <v>179</v>
      </c>
      <c r="Y525" s="32">
        <v>96</v>
      </c>
      <c r="Z525" s="32">
        <v>55</v>
      </c>
      <c r="AA525" s="32">
        <v>267</v>
      </c>
      <c r="AB525" s="32">
        <v>125</v>
      </c>
      <c r="AC525" s="32">
        <v>64</v>
      </c>
      <c r="AD525" s="32">
        <v>113</v>
      </c>
      <c r="AE525" s="32">
        <v>69</v>
      </c>
      <c r="AF525" s="32">
        <v>43</v>
      </c>
      <c r="AG525" s="32">
        <v>380</v>
      </c>
      <c r="AH525" s="32">
        <v>194</v>
      </c>
      <c r="AI525" s="32">
        <v>107</v>
      </c>
      <c r="AJ525" s="32">
        <v>380</v>
      </c>
      <c r="AK525" s="32">
        <v>889</v>
      </c>
      <c r="AL525" s="32">
        <v>42.7</v>
      </c>
    </row>
    <row r="526" spans="1:38" ht="13.5" hidden="1" customHeight="1">
      <c r="A526" s="30" t="s">
        <v>2272</v>
      </c>
      <c r="B526" s="30" t="s">
        <v>2273</v>
      </c>
      <c r="C526" s="30" t="s">
        <v>235</v>
      </c>
      <c r="D526" s="30" t="s">
        <v>2012</v>
      </c>
      <c r="E526" s="30" t="s">
        <v>2044</v>
      </c>
      <c r="F526" s="30" t="s">
        <v>2045</v>
      </c>
      <c r="G526" s="30"/>
      <c r="H526" s="30" t="s">
        <v>2658</v>
      </c>
      <c r="I526" s="30" t="s">
        <v>2015</v>
      </c>
      <c r="J526" s="30" t="s">
        <v>2015</v>
      </c>
      <c r="K526" s="30" t="s">
        <v>2018</v>
      </c>
      <c r="L526" s="30" t="s">
        <v>2017</v>
      </c>
      <c r="M526" s="30" t="s">
        <v>2018</v>
      </c>
      <c r="N526" s="30" t="s">
        <v>2018</v>
      </c>
      <c r="O526" s="30" t="s">
        <v>2015</v>
      </c>
      <c r="P526" s="32">
        <v>6573</v>
      </c>
      <c r="Q526" s="32">
        <v>2801</v>
      </c>
      <c r="R526" s="32">
        <v>526</v>
      </c>
      <c r="S526" s="32">
        <v>211</v>
      </c>
      <c r="T526" s="32">
        <v>116</v>
      </c>
      <c r="U526" s="32">
        <v>515</v>
      </c>
      <c r="V526" s="32">
        <v>369</v>
      </c>
      <c r="W526" s="32">
        <v>212</v>
      </c>
      <c r="X526" s="32">
        <v>1041</v>
      </c>
      <c r="Y526" s="32">
        <v>580</v>
      </c>
      <c r="Z526" s="32">
        <v>328</v>
      </c>
      <c r="AA526" s="32">
        <v>1583</v>
      </c>
      <c r="AB526" s="32">
        <v>628</v>
      </c>
      <c r="AC526" s="32">
        <v>338</v>
      </c>
      <c r="AD526" s="32">
        <v>629</v>
      </c>
      <c r="AE526" s="32">
        <v>447</v>
      </c>
      <c r="AF526" s="32">
        <v>263</v>
      </c>
      <c r="AG526" s="32">
        <v>2212</v>
      </c>
      <c r="AH526" s="32">
        <v>1075</v>
      </c>
      <c r="AI526" s="32">
        <v>601</v>
      </c>
      <c r="AJ526" s="32">
        <v>2212</v>
      </c>
      <c r="AK526" s="32">
        <v>6382</v>
      </c>
      <c r="AL526" s="32">
        <v>34.700000000000003</v>
      </c>
    </row>
    <row r="527" spans="1:38" ht="13.5" hidden="1" customHeight="1">
      <c r="A527" s="30" t="s">
        <v>2272</v>
      </c>
      <c r="B527" s="30" t="s">
        <v>2273</v>
      </c>
      <c r="C527" s="30" t="s">
        <v>235</v>
      </c>
      <c r="D527" s="30" t="s">
        <v>2012</v>
      </c>
      <c r="E527" s="30" t="s">
        <v>2044</v>
      </c>
      <c r="F527" s="30" t="s">
        <v>2045</v>
      </c>
      <c r="G527" s="30"/>
      <c r="H527" s="30" t="s">
        <v>2659</v>
      </c>
      <c r="I527" s="30" t="s">
        <v>2015</v>
      </c>
      <c r="J527" s="30" t="s">
        <v>2015</v>
      </c>
      <c r="K527" s="30" t="s">
        <v>2018</v>
      </c>
      <c r="L527" s="30" t="s">
        <v>2017</v>
      </c>
      <c r="M527" s="30" t="s">
        <v>2018</v>
      </c>
      <c r="N527" s="30" t="s">
        <v>2018</v>
      </c>
      <c r="O527" s="30" t="s">
        <v>2015</v>
      </c>
      <c r="P527" s="32">
        <v>954</v>
      </c>
      <c r="Q527" s="32">
        <v>522</v>
      </c>
      <c r="R527" s="32">
        <v>183</v>
      </c>
      <c r="S527" s="32">
        <v>104</v>
      </c>
      <c r="T527" s="32">
        <v>43</v>
      </c>
      <c r="U527" s="32">
        <v>76</v>
      </c>
      <c r="V527" s="32">
        <v>59</v>
      </c>
      <c r="W527" s="32">
        <v>39</v>
      </c>
      <c r="X527" s="32">
        <v>259</v>
      </c>
      <c r="Y527" s="32">
        <v>163</v>
      </c>
      <c r="Z527" s="32">
        <v>82</v>
      </c>
      <c r="AA527" s="32">
        <v>494</v>
      </c>
      <c r="AB527" s="32">
        <v>281</v>
      </c>
      <c r="AC527" s="32">
        <v>116</v>
      </c>
      <c r="AD527" s="32">
        <v>91</v>
      </c>
      <c r="AE527" s="32">
        <v>71</v>
      </c>
      <c r="AF527" s="32">
        <v>47</v>
      </c>
      <c r="AG527" s="32">
        <v>585</v>
      </c>
      <c r="AH527" s="32">
        <v>352</v>
      </c>
      <c r="AI527" s="32">
        <v>163</v>
      </c>
      <c r="AJ527" s="32">
        <v>585</v>
      </c>
      <c r="AK527" s="32">
        <v>950</v>
      </c>
      <c r="AL527" s="32">
        <v>61.6</v>
      </c>
    </row>
    <row r="528" spans="1:38" ht="13.5" hidden="1" customHeight="1">
      <c r="A528" s="30" t="s">
        <v>2272</v>
      </c>
      <c r="B528" s="30" t="s">
        <v>2273</v>
      </c>
      <c r="C528" s="30" t="s">
        <v>235</v>
      </c>
      <c r="D528" s="30" t="s">
        <v>2012</v>
      </c>
      <c r="E528" s="30" t="s">
        <v>2044</v>
      </c>
      <c r="F528" s="30" t="s">
        <v>2045</v>
      </c>
      <c r="G528" s="30"/>
      <c r="H528" s="30" t="s">
        <v>2660</v>
      </c>
      <c r="I528" s="30" t="s">
        <v>2015</v>
      </c>
      <c r="J528" s="30" t="s">
        <v>2015</v>
      </c>
      <c r="K528" s="30" t="s">
        <v>2018</v>
      </c>
      <c r="L528" s="30" t="s">
        <v>2017</v>
      </c>
      <c r="M528" s="30" t="s">
        <v>2018</v>
      </c>
      <c r="N528" s="30" t="s">
        <v>2018</v>
      </c>
      <c r="O528" s="30" t="s">
        <v>2015</v>
      </c>
      <c r="P528" s="32">
        <v>1816</v>
      </c>
      <c r="Q528" s="32">
        <v>1077</v>
      </c>
      <c r="R528" s="32">
        <v>218</v>
      </c>
      <c r="S528" s="32">
        <v>109</v>
      </c>
      <c r="T528" s="32">
        <v>55</v>
      </c>
      <c r="U528" s="32">
        <v>165</v>
      </c>
      <c r="V528" s="32">
        <v>108</v>
      </c>
      <c r="W528" s="32">
        <v>77</v>
      </c>
      <c r="X528" s="32">
        <v>383</v>
      </c>
      <c r="Y528" s="32">
        <v>217</v>
      </c>
      <c r="Z528" s="32">
        <v>132</v>
      </c>
      <c r="AA528" s="32">
        <v>665</v>
      </c>
      <c r="AB528" s="32">
        <v>332</v>
      </c>
      <c r="AC528" s="32">
        <v>167</v>
      </c>
      <c r="AD528" s="32">
        <v>207</v>
      </c>
      <c r="AE528" s="32">
        <v>135</v>
      </c>
      <c r="AF528" s="32">
        <v>95</v>
      </c>
      <c r="AG528" s="32">
        <v>872</v>
      </c>
      <c r="AH528" s="32">
        <v>467</v>
      </c>
      <c r="AI528" s="32">
        <v>262</v>
      </c>
      <c r="AJ528" s="32">
        <v>872</v>
      </c>
      <c r="AK528" s="32">
        <v>1751</v>
      </c>
      <c r="AL528" s="32">
        <v>49.8</v>
      </c>
    </row>
    <row r="529" spans="1:38" ht="13.5" hidden="1" customHeight="1">
      <c r="A529" s="30" t="s">
        <v>2272</v>
      </c>
      <c r="B529" s="30" t="s">
        <v>2273</v>
      </c>
      <c r="C529" s="30" t="s">
        <v>235</v>
      </c>
      <c r="D529" s="30" t="s">
        <v>2012</v>
      </c>
      <c r="E529" s="30" t="s">
        <v>2044</v>
      </c>
      <c r="F529" s="30" t="s">
        <v>2045</v>
      </c>
      <c r="G529" s="30"/>
      <c r="H529" s="30" t="s">
        <v>2661</v>
      </c>
      <c r="I529" s="30" t="s">
        <v>2015</v>
      </c>
      <c r="J529" s="30" t="s">
        <v>2015</v>
      </c>
      <c r="K529" s="30" t="s">
        <v>2018</v>
      </c>
      <c r="L529" s="30" t="s">
        <v>2017</v>
      </c>
      <c r="M529" s="30" t="s">
        <v>2018</v>
      </c>
      <c r="N529" s="30" t="s">
        <v>2018</v>
      </c>
      <c r="O529" s="30" t="s">
        <v>2015</v>
      </c>
      <c r="P529" s="32">
        <v>52</v>
      </c>
      <c r="Q529" s="32">
        <v>56</v>
      </c>
      <c r="R529" s="32">
        <v>11</v>
      </c>
      <c r="S529" s="32">
        <v>8</v>
      </c>
      <c r="T529" s="32">
        <v>5</v>
      </c>
      <c r="U529" s="32">
        <v>6</v>
      </c>
      <c r="V529" s="32">
        <v>6</v>
      </c>
      <c r="W529" s="32">
        <v>4</v>
      </c>
      <c r="X529" s="32">
        <v>17</v>
      </c>
      <c r="Y529" s="32">
        <v>14</v>
      </c>
      <c r="Z529" s="32">
        <v>9</v>
      </c>
      <c r="AA529" s="32">
        <v>41</v>
      </c>
      <c r="AB529" s="32">
        <v>30</v>
      </c>
      <c r="AC529" s="32">
        <v>19</v>
      </c>
      <c r="AD529" s="32">
        <v>6</v>
      </c>
      <c r="AE529" s="32">
        <v>6</v>
      </c>
      <c r="AF529" s="32">
        <v>4</v>
      </c>
      <c r="AG529" s="32">
        <v>47</v>
      </c>
      <c r="AH529" s="32">
        <v>36</v>
      </c>
      <c r="AI529" s="32">
        <v>23</v>
      </c>
      <c r="AJ529" s="32">
        <v>47</v>
      </c>
      <c r="AK529" s="32">
        <v>69</v>
      </c>
      <c r="AL529" s="32">
        <v>68.099999999999994</v>
      </c>
    </row>
    <row r="530" spans="1:38" ht="13.5" hidden="1" customHeight="1">
      <c r="A530" s="30" t="s">
        <v>2272</v>
      </c>
      <c r="B530" s="30" t="s">
        <v>2273</v>
      </c>
      <c r="C530" s="30" t="s">
        <v>235</v>
      </c>
      <c r="D530" s="30" t="s">
        <v>2012</v>
      </c>
      <c r="E530" s="30" t="s">
        <v>2044</v>
      </c>
      <c r="F530" s="30" t="s">
        <v>2045</v>
      </c>
      <c r="G530" s="30"/>
      <c r="H530" s="30" t="s">
        <v>2662</v>
      </c>
      <c r="I530" s="30" t="s">
        <v>2015</v>
      </c>
      <c r="J530" s="30" t="s">
        <v>2015</v>
      </c>
      <c r="K530" s="30" t="s">
        <v>2018</v>
      </c>
      <c r="L530" s="30" t="s">
        <v>2017</v>
      </c>
      <c r="M530" s="30" t="s">
        <v>2018</v>
      </c>
      <c r="N530" s="30" t="s">
        <v>2018</v>
      </c>
      <c r="O530" s="30" t="s">
        <v>2015</v>
      </c>
      <c r="P530" s="32">
        <v>718</v>
      </c>
      <c r="Q530" s="32">
        <v>585</v>
      </c>
      <c r="R530" s="32">
        <v>75</v>
      </c>
      <c r="S530" s="32">
        <v>28</v>
      </c>
      <c r="T530" s="32">
        <v>4</v>
      </c>
      <c r="U530" s="32">
        <v>83</v>
      </c>
      <c r="V530" s="32">
        <v>62</v>
      </c>
      <c r="W530" s="32">
        <v>41</v>
      </c>
      <c r="X530" s="32">
        <v>158</v>
      </c>
      <c r="Y530" s="32">
        <v>90</v>
      </c>
      <c r="Z530" s="32">
        <v>45</v>
      </c>
      <c r="AA530" s="32">
        <v>210</v>
      </c>
      <c r="AB530" s="32">
        <v>78</v>
      </c>
      <c r="AC530" s="32">
        <v>11</v>
      </c>
      <c r="AD530" s="32">
        <v>100</v>
      </c>
      <c r="AE530" s="32">
        <v>74</v>
      </c>
      <c r="AF530" s="32">
        <v>49</v>
      </c>
      <c r="AG530" s="32">
        <v>310</v>
      </c>
      <c r="AH530" s="32">
        <v>152</v>
      </c>
      <c r="AI530" s="32">
        <v>60</v>
      </c>
      <c r="AJ530" s="32">
        <v>310</v>
      </c>
      <c r="AK530" s="32">
        <v>673</v>
      </c>
      <c r="AL530" s="32">
        <v>46.1</v>
      </c>
    </row>
    <row r="531" spans="1:38" ht="13.5" hidden="1" customHeight="1">
      <c r="A531" s="30" t="s">
        <v>2272</v>
      </c>
      <c r="B531" s="30" t="s">
        <v>2273</v>
      </c>
      <c r="C531" s="30" t="s">
        <v>235</v>
      </c>
      <c r="D531" s="30" t="s">
        <v>2012</v>
      </c>
      <c r="E531" s="30" t="s">
        <v>2044</v>
      </c>
      <c r="F531" s="30" t="s">
        <v>2045</v>
      </c>
      <c r="G531" s="30"/>
      <c r="H531" s="30" t="s">
        <v>2663</v>
      </c>
      <c r="I531" s="30" t="s">
        <v>2015</v>
      </c>
      <c r="J531" s="30" t="s">
        <v>2015</v>
      </c>
      <c r="K531" s="30" t="s">
        <v>2018</v>
      </c>
      <c r="L531" s="30" t="s">
        <v>2017</v>
      </c>
      <c r="M531" s="30" t="s">
        <v>2018</v>
      </c>
      <c r="N531" s="30" t="s">
        <v>2018</v>
      </c>
      <c r="O531" s="30" t="s">
        <v>2015</v>
      </c>
      <c r="P531" s="32">
        <v>4523</v>
      </c>
      <c r="Q531" s="32">
        <v>2308</v>
      </c>
      <c r="R531" s="32">
        <v>511</v>
      </c>
      <c r="S531" s="32">
        <v>249</v>
      </c>
      <c r="T531" s="32">
        <v>116</v>
      </c>
      <c r="U531" s="32">
        <v>428</v>
      </c>
      <c r="V531" s="32">
        <v>316</v>
      </c>
      <c r="W531" s="32">
        <v>187</v>
      </c>
      <c r="X531" s="32">
        <v>939</v>
      </c>
      <c r="Y531" s="32">
        <v>565</v>
      </c>
      <c r="Z531" s="32">
        <v>303</v>
      </c>
      <c r="AA531" s="32">
        <v>1470</v>
      </c>
      <c r="AB531" s="32">
        <v>733</v>
      </c>
      <c r="AC531" s="32">
        <v>341</v>
      </c>
      <c r="AD531" s="32">
        <v>495</v>
      </c>
      <c r="AE531" s="32">
        <v>365</v>
      </c>
      <c r="AF531" s="32">
        <v>218</v>
      </c>
      <c r="AG531" s="32">
        <v>1965</v>
      </c>
      <c r="AH531" s="32">
        <v>1098</v>
      </c>
      <c r="AI531" s="32">
        <v>559</v>
      </c>
      <c r="AJ531" s="32">
        <v>1965</v>
      </c>
      <c r="AK531" s="32">
        <v>4409</v>
      </c>
      <c r="AL531" s="32">
        <v>44.6</v>
      </c>
    </row>
    <row r="532" spans="1:38" ht="13.5" hidden="1" customHeight="1">
      <c r="A532" s="30" t="s">
        <v>2272</v>
      </c>
      <c r="B532" s="30" t="s">
        <v>2273</v>
      </c>
      <c r="C532" s="30" t="s">
        <v>235</v>
      </c>
      <c r="D532" s="30" t="s">
        <v>2012</v>
      </c>
      <c r="E532" s="30" t="s">
        <v>2044</v>
      </c>
      <c r="F532" s="30" t="s">
        <v>2045</v>
      </c>
      <c r="G532" s="30"/>
      <c r="H532" s="30" t="s">
        <v>2664</v>
      </c>
      <c r="I532" s="30" t="s">
        <v>2015</v>
      </c>
      <c r="J532" s="30" t="s">
        <v>2015</v>
      </c>
      <c r="K532" s="30" t="s">
        <v>2018</v>
      </c>
      <c r="L532" s="30" t="s">
        <v>2017</v>
      </c>
      <c r="M532" s="30" t="s">
        <v>2018</v>
      </c>
      <c r="N532" s="30" t="s">
        <v>2018</v>
      </c>
      <c r="O532" s="30" t="s">
        <v>2015</v>
      </c>
      <c r="P532" s="32">
        <v>647</v>
      </c>
      <c r="Q532" s="32">
        <v>366</v>
      </c>
      <c r="R532" s="32">
        <v>65</v>
      </c>
      <c r="S532" s="32">
        <v>29</v>
      </c>
      <c r="T532" s="32">
        <v>12</v>
      </c>
      <c r="U532" s="32">
        <v>35</v>
      </c>
      <c r="V532" s="32">
        <v>21</v>
      </c>
      <c r="W532" s="32">
        <v>15</v>
      </c>
      <c r="X532" s="32">
        <v>100</v>
      </c>
      <c r="Y532" s="32">
        <v>50</v>
      </c>
      <c r="Z532" s="32">
        <v>27</v>
      </c>
      <c r="AA532" s="32">
        <v>189</v>
      </c>
      <c r="AB532" s="32">
        <v>84</v>
      </c>
      <c r="AC532" s="32">
        <v>35</v>
      </c>
      <c r="AD532" s="32">
        <v>53</v>
      </c>
      <c r="AE532" s="32">
        <v>32</v>
      </c>
      <c r="AF532" s="32">
        <v>23</v>
      </c>
      <c r="AG532" s="32">
        <v>242</v>
      </c>
      <c r="AH532" s="32">
        <v>116</v>
      </c>
      <c r="AI532" s="32">
        <v>58</v>
      </c>
      <c r="AJ532" s="32">
        <v>242</v>
      </c>
      <c r="AK532" s="32">
        <v>713</v>
      </c>
      <c r="AL532" s="32">
        <v>33.9</v>
      </c>
    </row>
    <row r="533" spans="1:38" ht="13.5" hidden="1" customHeight="1">
      <c r="A533" s="30" t="s">
        <v>2272</v>
      </c>
      <c r="B533" s="30" t="s">
        <v>2273</v>
      </c>
      <c r="C533" s="30" t="s">
        <v>235</v>
      </c>
      <c r="D533" s="30" t="s">
        <v>2012</v>
      </c>
      <c r="E533" s="30" t="s">
        <v>2044</v>
      </c>
      <c r="F533" s="30" t="s">
        <v>2045</v>
      </c>
      <c r="G533" s="30"/>
      <c r="H533" s="30" t="s">
        <v>2665</v>
      </c>
      <c r="I533" s="30" t="s">
        <v>2015</v>
      </c>
      <c r="J533" s="30" t="s">
        <v>2015</v>
      </c>
      <c r="K533" s="30" t="s">
        <v>2018</v>
      </c>
      <c r="L533" s="30" t="s">
        <v>2017</v>
      </c>
      <c r="M533" s="30" t="s">
        <v>2018</v>
      </c>
      <c r="N533" s="30" t="s">
        <v>2018</v>
      </c>
      <c r="O533" s="30" t="s">
        <v>2015</v>
      </c>
      <c r="P533" s="32">
        <v>219</v>
      </c>
      <c r="Q533" s="32">
        <v>122</v>
      </c>
      <c r="R533" s="32">
        <v>25</v>
      </c>
      <c r="S533" s="32">
        <v>12</v>
      </c>
      <c r="T533" s="32">
        <v>5</v>
      </c>
      <c r="U533" s="32">
        <v>18</v>
      </c>
      <c r="V533" s="32">
        <v>9</v>
      </c>
      <c r="W533" s="32">
        <v>7</v>
      </c>
      <c r="X533" s="32">
        <v>43</v>
      </c>
      <c r="Y533" s="32">
        <v>21</v>
      </c>
      <c r="Z533" s="32">
        <v>12</v>
      </c>
      <c r="AA533" s="32">
        <v>75</v>
      </c>
      <c r="AB533" s="32">
        <v>36</v>
      </c>
      <c r="AC533" s="32">
        <v>15</v>
      </c>
      <c r="AD533" s="32">
        <v>22</v>
      </c>
      <c r="AE533" s="32">
        <v>11</v>
      </c>
      <c r="AF533" s="32">
        <v>8</v>
      </c>
      <c r="AG533" s="32">
        <v>97</v>
      </c>
      <c r="AH533" s="32">
        <v>47</v>
      </c>
      <c r="AI533" s="32">
        <v>23</v>
      </c>
      <c r="AJ533" s="32">
        <v>97</v>
      </c>
      <c r="AK533" s="32">
        <v>240</v>
      </c>
      <c r="AL533" s="32">
        <v>40.4</v>
      </c>
    </row>
    <row r="534" spans="1:38" ht="13.5" hidden="1" customHeight="1">
      <c r="A534" s="30" t="s">
        <v>2272</v>
      </c>
      <c r="B534" s="30" t="s">
        <v>2273</v>
      </c>
      <c r="C534" s="30" t="s">
        <v>235</v>
      </c>
      <c r="D534" s="30" t="s">
        <v>2012</v>
      </c>
      <c r="E534" s="30" t="s">
        <v>2044</v>
      </c>
      <c r="F534" s="30" t="s">
        <v>2045</v>
      </c>
      <c r="G534" s="30"/>
      <c r="H534" s="30" t="s">
        <v>2666</v>
      </c>
      <c r="I534" s="30" t="s">
        <v>2015</v>
      </c>
      <c r="J534" s="30" t="s">
        <v>2015</v>
      </c>
      <c r="K534" s="30" t="s">
        <v>2018</v>
      </c>
      <c r="L534" s="30" t="s">
        <v>2017</v>
      </c>
      <c r="M534" s="30" t="s">
        <v>2018</v>
      </c>
      <c r="N534" s="30" t="s">
        <v>2018</v>
      </c>
      <c r="O534" s="30" t="s">
        <v>2015</v>
      </c>
      <c r="P534" s="32">
        <v>577</v>
      </c>
      <c r="Q534" s="32">
        <v>353</v>
      </c>
      <c r="R534" s="32">
        <v>82</v>
      </c>
      <c r="S534" s="32">
        <v>47</v>
      </c>
      <c r="T534" s="32">
        <v>23</v>
      </c>
      <c r="U534" s="32">
        <v>38</v>
      </c>
      <c r="V534" s="32">
        <v>21</v>
      </c>
      <c r="W534" s="32">
        <v>12</v>
      </c>
      <c r="X534" s="32">
        <v>120</v>
      </c>
      <c r="Y534" s="32">
        <v>68</v>
      </c>
      <c r="Z534" s="32">
        <v>35</v>
      </c>
      <c r="AA534" s="32">
        <v>262</v>
      </c>
      <c r="AB534" s="32">
        <v>150</v>
      </c>
      <c r="AC534" s="32">
        <v>74</v>
      </c>
      <c r="AD534" s="32">
        <v>46</v>
      </c>
      <c r="AE534" s="32">
        <v>25</v>
      </c>
      <c r="AF534" s="32">
        <v>14</v>
      </c>
      <c r="AG534" s="32">
        <v>308</v>
      </c>
      <c r="AH534" s="32">
        <v>175</v>
      </c>
      <c r="AI534" s="32">
        <v>88</v>
      </c>
      <c r="AJ534" s="32">
        <v>308</v>
      </c>
      <c r="AK534" s="32">
        <v>571</v>
      </c>
      <c r="AL534" s="32">
        <v>53.9</v>
      </c>
    </row>
    <row r="535" spans="1:38" ht="13.5" hidden="1" customHeight="1">
      <c r="A535" s="30" t="s">
        <v>2272</v>
      </c>
      <c r="B535" s="30" t="s">
        <v>2273</v>
      </c>
      <c r="C535" s="30" t="s">
        <v>235</v>
      </c>
      <c r="D535" s="30" t="s">
        <v>2012</v>
      </c>
      <c r="E535" s="30" t="s">
        <v>2044</v>
      </c>
      <c r="F535" s="30" t="s">
        <v>2045</v>
      </c>
      <c r="G535" s="30"/>
      <c r="H535" s="30" t="s">
        <v>2667</v>
      </c>
      <c r="I535" s="30" t="s">
        <v>2015</v>
      </c>
      <c r="J535" s="30" t="s">
        <v>2015</v>
      </c>
      <c r="K535" s="30" t="s">
        <v>2018</v>
      </c>
      <c r="L535" s="30" t="s">
        <v>2017</v>
      </c>
      <c r="M535" s="30" t="s">
        <v>2018</v>
      </c>
      <c r="N535" s="30" t="s">
        <v>2018</v>
      </c>
      <c r="O535" s="30" t="s">
        <v>2015</v>
      </c>
      <c r="P535" s="32">
        <v>785</v>
      </c>
      <c r="Q535" s="32">
        <v>564</v>
      </c>
      <c r="R535" s="32">
        <v>96</v>
      </c>
      <c r="S535" s="32">
        <v>45</v>
      </c>
      <c r="T535" s="32">
        <v>20</v>
      </c>
      <c r="U535" s="32">
        <v>70</v>
      </c>
      <c r="V535" s="32">
        <v>46</v>
      </c>
      <c r="W535" s="32">
        <v>15</v>
      </c>
      <c r="X535" s="32">
        <v>166</v>
      </c>
      <c r="Y535" s="32">
        <v>91</v>
      </c>
      <c r="Z535" s="32">
        <v>35</v>
      </c>
      <c r="AA535" s="32">
        <v>278</v>
      </c>
      <c r="AB535" s="32">
        <v>131</v>
      </c>
      <c r="AC535" s="32">
        <v>58</v>
      </c>
      <c r="AD535" s="32">
        <v>84</v>
      </c>
      <c r="AE535" s="32">
        <v>55</v>
      </c>
      <c r="AF535" s="32">
        <v>18</v>
      </c>
      <c r="AG535" s="32">
        <v>362</v>
      </c>
      <c r="AH535" s="32">
        <v>186</v>
      </c>
      <c r="AI535" s="32">
        <v>76</v>
      </c>
      <c r="AJ535" s="32">
        <v>362</v>
      </c>
      <c r="AK535" s="32">
        <v>781</v>
      </c>
      <c r="AL535" s="32">
        <v>46.4</v>
      </c>
    </row>
    <row r="536" spans="1:38" ht="13.5" hidden="1" customHeight="1">
      <c r="A536" s="30" t="s">
        <v>2272</v>
      </c>
      <c r="B536" s="30" t="s">
        <v>2273</v>
      </c>
      <c r="C536" s="30" t="s">
        <v>235</v>
      </c>
      <c r="D536" s="30" t="s">
        <v>2012</v>
      </c>
      <c r="E536" s="30" t="s">
        <v>2044</v>
      </c>
      <c r="F536" s="30" t="s">
        <v>2045</v>
      </c>
      <c r="G536" s="30"/>
      <c r="H536" s="30" t="s">
        <v>2668</v>
      </c>
      <c r="I536" s="30" t="s">
        <v>2015</v>
      </c>
      <c r="J536" s="30" t="s">
        <v>2015</v>
      </c>
      <c r="K536" s="30" t="s">
        <v>2018</v>
      </c>
      <c r="L536" s="30" t="s">
        <v>2017</v>
      </c>
      <c r="M536" s="30" t="s">
        <v>2018</v>
      </c>
      <c r="N536" s="30" t="s">
        <v>2018</v>
      </c>
      <c r="O536" s="30" t="s">
        <v>2015</v>
      </c>
      <c r="P536" s="32">
        <v>3294</v>
      </c>
      <c r="Q536" s="32">
        <v>1389</v>
      </c>
      <c r="R536" s="32">
        <v>371</v>
      </c>
      <c r="S536" s="32">
        <v>209</v>
      </c>
      <c r="T536" s="32">
        <v>121</v>
      </c>
      <c r="U536" s="32">
        <v>204</v>
      </c>
      <c r="V536" s="32">
        <v>152</v>
      </c>
      <c r="W536" s="32">
        <v>86</v>
      </c>
      <c r="X536" s="32">
        <v>575</v>
      </c>
      <c r="Y536" s="32">
        <v>361</v>
      </c>
      <c r="Z536" s="32">
        <v>207</v>
      </c>
      <c r="AA536" s="32">
        <v>1101</v>
      </c>
      <c r="AB536" s="32">
        <v>616</v>
      </c>
      <c r="AC536" s="32">
        <v>360</v>
      </c>
      <c r="AD536" s="32">
        <v>275</v>
      </c>
      <c r="AE536" s="32">
        <v>207</v>
      </c>
      <c r="AF536" s="32">
        <v>118</v>
      </c>
      <c r="AG536" s="32">
        <v>1376</v>
      </c>
      <c r="AH536" s="32">
        <v>823</v>
      </c>
      <c r="AI536" s="32">
        <v>478</v>
      </c>
      <c r="AJ536" s="32">
        <v>1376</v>
      </c>
      <c r="AK536" s="32">
        <v>3294</v>
      </c>
      <c r="AL536" s="32">
        <v>41.8</v>
      </c>
    </row>
    <row r="537" spans="1:38" ht="13.5" hidden="1" customHeight="1">
      <c r="A537" s="30" t="s">
        <v>2272</v>
      </c>
      <c r="B537" s="30" t="s">
        <v>2273</v>
      </c>
      <c r="C537" s="30" t="s">
        <v>235</v>
      </c>
      <c r="D537" s="30" t="s">
        <v>2012</v>
      </c>
      <c r="E537" s="30" t="s">
        <v>2044</v>
      </c>
      <c r="F537" s="30" t="s">
        <v>2045</v>
      </c>
      <c r="G537" s="30"/>
      <c r="H537" s="30" t="s">
        <v>2669</v>
      </c>
      <c r="I537" s="30" t="s">
        <v>2015</v>
      </c>
      <c r="J537" s="30" t="s">
        <v>2015</v>
      </c>
      <c r="K537" s="30" t="s">
        <v>2018</v>
      </c>
      <c r="L537" s="30" t="s">
        <v>2017</v>
      </c>
      <c r="M537" s="30" t="s">
        <v>2018</v>
      </c>
      <c r="N537" s="30" t="s">
        <v>2018</v>
      </c>
      <c r="O537" s="30" t="s">
        <v>2015</v>
      </c>
      <c r="P537" s="32">
        <v>354</v>
      </c>
      <c r="Q537" s="32">
        <v>1062</v>
      </c>
      <c r="R537" s="32">
        <v>43</v>
      </c>
      <c r="S537" s="32">
        <v>26</v>
      </c>
      <c r="T537" s="32">
        <v>12</v>
      </c>
      <c r="U537" s="32">
        <v>55</v>
      </c>
      <c r="V537" s="32">
        <v>41</v>
      </c>
      <c r="W537" s="32">
        <v>22</v>
      </c>
      <c r="X537" s="32">
        <v>98</v>
      </c>
      <c r="Y537" s="32">
        <v>67</v>
      </c>
      <c r="Z537" s="32">
        <v>34</v>
      </c>
      <c r="AA537" s="32">
        <v>125</v>
      </c>
      <c r="AB537" s="32">
        <v>75</v>
      </c>
      <c r="AC537" s="32">
        <v>35</v>
      </c>
      <c r="AD537" s="32">
        <v>66</v>
      </c>
      <c r="AE537" s="32">
        <v>49</v>
      </c>
      <c r="AF537" s="32">
        <v>26</v>
      </c>
      <c r="AG537" s="32">
        <v>191</v>
      </c>
      <c r="AH537" s="32">
        <v>124</v>
      </c>
      <c r="AI537" s="32">
        <v>61</v>
      </c>
      <c r="AJ537" s="32">
        <v>191</v>
      </c>
      <c r="AK537" s="32">
        <v>332</v>
      </c>
      <c r="AL537" s="32">
        <v>57.5</v>
      </c>
    </row>
    <row r="538" spans="1:38" ht="13.5" hidden="1" customHeight="1">
      <c r="A538" s="30" t="s">
        <v>2272</v>
      </c>
      <c r="B538" s="30" t="s">
        <v>2273</v>
      </c>
      <c r="C538" s="30" t="s">
        <v>235</v>
      </c>
      <c r="D538" s="30" t="s">
        <v>2012</v>
      </c>
      <c r="E538" s="30" t="s">
        <v>2044</v>
      </c>
      <c r="F538" s="30" t="s">
        <v>2045</v>
      </c>
      <c r="G538" s="30"/>
      <c r="H538" s="30" t="s">
        <v>2670</v>
      </c>
      <c r="I538" s="30" t="s">
        <v>2015</v>
      </c>
      <c r="J538" s="30" t="s">
        <v>2015</v>
      </c>
      <c r="K538" s="30" t="s">
        <v>2018</v>
      </c>
      <c r="L538" s="30" t="s">
        <v>2017</v>
      </c>
      <c r="M538" s="30" t="s">
        <v>2018</v>
      </c>
      <c r="N538" s="30" t="s">
        <v>2018</v>
      </c>
      <c r="O538" s="30" t="s">
        <v>2015</v>
      </c>
      <c r="P538" s="32">
        <v>46</v>
      </c>
      <c r="Q538" s="32">
        <v>452</v>
      </c>
      <c r="R538" s="32">
        <v>0</v>
      </c>
      <c r="S538" s="32">
        <v>0</v>
      </c>
      <c r="T538" s="32">
        <v>0</v>
      </c>
      <c r="U538" s="32">
        <v>3</v>
      </c>
      <c r="V538" s="32">
        <v>0</v>
      </c>
      <c r="W538" s="32">
        <v>0</v>
      </c>
      <c r="X538" s="32">
        <v>3</v>
      </c>
      <c r="Y538" s="32">
        <v>0</v>
      </c>
      <c r="Z538" s="32">
        <v>0</v>
      </c>
      <c r="AA538" s="32">
        <v>0</v>
      </c>
      <c r="AB538" s="32">
        <v>0</v>
      </c>
      <c r="AC538" s="32">
        <v>0</v>
      </c>
      <c r="AD538" s="32">
        <v>3</v>
      </c>
      <c r="AE538" s="32">
        <v>0</v>
      </c>
      <c r="AF538" s="32">
        <v>0</v>
      </c>
      <c r="AG538" s="32">
        <v>3</v>
      </c>
      <c r="AH538" s="32">
        <v>0</v>
      </c>
      <c r="AI538" s="32">
        <v>0</v>
      </c>
      <c r="AJ538" s="32">
        <v>3</v>
      </c>
      <c r="AK538" s="32">
        <v>18</v>
      </c>
      <c r="AL538" s="32">
        <v>16.7</v>
      </c>
    </row>
    <row r="539" spans="1:38" ht="13.5" hidden="1" customHeight="1">
      <c r="A539" s="30" t="s">
        <v>2272</v>
      </c>
      <c r="B539" s="30" t="s">
        <v>2273</v>
      </c>
      <c r="C539" s="30" t="s">
        <v>235</v>
      </c>
      <c r="D539" s="30" t="s">
        <v>2012</v>
      </c>
      <c r="E539" s="30" t="s">
        <v>2044</v>
      </c>
      <c r="F539" s="30" t="s">
        <v>2045</v>
      </c>
      <c r="G539" s="30"/>
      <c r="H539" s="30" t="s">
        <v>2671</v>
      </c>
      <c r="I539" s="30" t="s">
        <v>2015</v>
      </c>
      <c r="J539" s="30" t="s">
        <v>2015</v>
      </c>
      <c r="K539" s="30" t="s">
        <v>2018</v>
      </c>
      <c r="L539" s="30" t="s">
        <v>2017</v>
      </c>
      <c r="M539" s="30" t="s">
        <v>2018</v>
      </c>
      <c r="N539" s="30" t="s">
        <v>2018</v>
      </c>
      <c r="O539" s="30" t="s">
        <v>2015</v>
      </c>
      <c r="P539" s="32">
        <v>1953</v>
      </c>
      <c r="Q539" s="32">
        <v>851</v>
      </c>
      <c r="R539" s="32">
        <v>257</v>
      </c>
      <c r="S539" s="32">
        <v>133</v>
      </c>
      <c r="T539" s="32">
        <v>61</v>
      </c>
      <c r="U539" s="32">
        <v>149</v>
      </c>
      <c r="V539" s="32">
        <v>103</v>
      </c>
      <c r="W539" s="32">
        <v>78</v>
      </c>
      <c r="X539" s="32">
        <v>406</v>
      </c>
      <c r="Y539" s="32">
        <v>236</v>
      </c>
      <c r="Z539" s="32">
        <v>139</v>
      </c>
      <c r="AA539" s="32">
        <v>797</v>
      </c>
      <c r="AB539" s="32">
        <v>412</v>
      </c>
      <c r="AC539" s="32">
        <v>189</v>
      </c>
      <c r="AD539" s="32">
        <v>194</v>
      </c>
      <c r="AE539" s="32">
        <v>134</v>
      </c>
      <c r="AF539" s="32">
        <v>101</v>
      </c>
      <c r="AG539" s="32">
        <v>991</v>
      </c>
      <c r="AH539" s="32">
        <v>546</v>
      </c>
      <c r="AI539" s="32">
        <v>290</v>
      </c>
      <c r="AJ539" s="32">
        <v>991</v>
      </c>
      <c r="AK539" s="32">
        <v>1976</v>
      </c>
      <c r="AL539" s="32">
        <v>50.2</v>
      </c>
    </row>
    <row r="540" spans="1:38" ht="13.5" hidden="1" customHeight="1">
      <c r="A540" s="30" t="s">
        <v>2272</v>
      </c>
      <c r="B540" s="30" t="s">
        <v>2273</v>
      </c>
      <c r="C540" s="30" t="s">
        <v>235</v>
      </c>
      <c r="D540" s="30" t="s">
        <v>2012</v>
      </c>
      <c r="E540" s="30" t="s">
        <v>2044</v>
      </c>
      <c r="F540" s="30" t="s">
        <v>2045</v>
      </c>
      <c r="G540" s="30"/>
      <c r="H540" s="30" t="s">
        <v>2672</v>
      </c>
      <c r="I540" s="30" t="s">
        <v>2015</v>
      </c>
      <c r="J540" s="30" t="s">
        <v>2015</v>
      </c>
      <c r="K540" s="30" t="s">
        <v>2018</v>
      </c>
      <c r="L540" s="30" t="s">
        <v>2017</v>
      </c>
      <c r="M540" s="30" t="s">
        <v>2018</v>
      </c>
      <c r="N540" s="30" t="s">
        <v>2018</v>
      </c>
      <c r="O540" s="30" t="s">
        <v>2015</v>
      </c>
      <c r="P540" s="32">
        <v>4214</v>
      </c>
      <c r="Q540" s="32">
        <v>1808</v>
      </c>
      <c r="R540" s="32">
        <v>453</v>
      </c>
      <c r="S540" s="32">
        <v>236</v>
      </c>
      <c r="T540" s="32">
        <v>112</v>
      </c>
      <c r="U540" s="32">
        <v>289</v>
      </c>
      <c r="V540" s="32">
        <v>163</v>
      </c>
      <c r="W540" s="32">
        <v>76</v>
      </c>
      <c r="X540" s="32">
        <v>742</v>
      </c>
      <c r="Y540" s="32">
        <v>399</v>
      </c>
      <c r="Z540" s="32">
        <v>188</v>
      </c>
      <c r="AA540" s="32">
        <v>1405</v>
      </c>
      <c r="AB540" s="32">
        <v>726</v>
      </c>
      <c r="AC540" s="32">
        <v>347</v>
      </c>
      <c r="AD540" s="32">
        <v>355</v>
      </c>
      <c r="AE540" s="32">
        <v>203</v>
      </c>
      <c r="AF540" s="32">
        <v>96</v>
      </c>
      <c r="AG540" s="32">
        <v>1760</v>
      </c>
      <c r="AH540" s="32">
        <v>929</v>
      </c>
      <c r="AI540" s="32">
        <v>443</v>
      </c>
      <c r="AJ540" s="32">
        <v>1760</v>
      </c>
      <c r="AK540" s="32">
        <v>4074</v>
      </c>
      <c r="AL540" s="32">
        <v>43.2</v>
      </c>
    </row>
    <row r="541" spans="1:38" ht="13.5" hidden="1" customHeight="1">
      <c r="A541" s="30" t="s">
        <v>2272</v>
      </c>
      <c r="B541" s="30" t="s">
        <v>2273</v>
      </c>
      <c r="C541" s="30" t="s">
        <v>235</v>
      </c>
      <c r="D541" s="30" t="s">
        <v>2012</v>
      </c>
      <c r="E541" s="30" t="s">
        <v>2044</v>
      </c>
      <c r="F541" s="30" t="s">
        <v>2045</v>
      </c>
      <c r="G541" s="30"/>
      <c r="H541" s="30" t="s">
        <v>2673</v>
      </c>
      <c r="I541" s="30" t="s">
        <v>2015</v>
      </c>
      <c r="J541" s="30" t="s">
        <v>2015</v>
      </c>
      <c r="K541" s="30" t="s">
        <v>2018</v>
      </c>
      <c r="L541" s="30" t="s">
        <v>2017</v>
      </c>
      <c r="M541" s="30" t="s">
        <v>2018</v>
      </c>
      <c r="N541" s="30" t="s">
        <v>2018</v>
      </c>
      <c r="O541" s="30" t="s">
        <v>2015</v>
      </c>
      <c r="P541" s="32">
        <v>83</v>
      </c>
      <c r="Q541" s="32">
        <v>89</v>
      </c>
      <c r="R541" s="32">
        <v>13</v>
      </c>
      <c r="S541" s="32">
        <v>9</v>
      </c>
      <c r="T541" s="32">
        <v>1</v>
      </c>
      <c r="U541" s="32">
        <v>10</v>
      </c>
      <c r="V541" s="32">
        <v>6</v>
      </c>
      <c r="W541" s="32">
        <v>2</v>
      </c>
      <c r="X541" s="32">
        <v>23</v>
      </c>
      <c r="Y541" s="32">
        <v>15</v>
      </c>
      <c r="Z541" s="32">
        <v>3</v>
      </c>
      <c r="AA541" s="32">
        <v>38</v>
      </c>
      <c r="AB541" s="32">
        <v>26</v>
      </c>
      <c r="AC541" s="32">
        <v>3</v>
      </c>
      <c r="AD541" s="32">
        <v>16</v>
      </c>
      <c r="AE541" s="32">
        <v>10</v>
      </c>
      <c r="AF541" s="32">
        <v>3</v>
      </c>
      <c r="AG541" s="32">
        <v>54</v>
      </c>
      <c r="AH541" s="32">
        <v>36</v>
      </c>
      <c r="AI541" s="32">
        <v>6</v>
      </c>
      <c r="AJ541" s="32">
        <v>54</v>
      </c>
      <c r="AK541" s="32">
        <v>89</v>
      </c>
      <c r="AL541" s="32">
        <v>60.7</v>
      </c>
    </row>
    <row r="542" spans="1:38" ht="13.5" hidden="1" customHeight="1">
      <c r="A542" s="30" t="s">
        <v>2272</v>
      </c>
      <c r="B542" s="30" t="s">
        <v>2273</v>
      </c>
      <c r="C542" s="30" t="s">
        <v>235</v>
      </c>
      <c r="D542" s="30" t="s">
        <v>2012</v>
      </c>
      <c r="E542" s="30" t="s">
        <v>2044</v>
      </c>
      <c r="F542" s="30" t="s">
        <v>2045</v>
      </c>
      <c r="G542" s="30"/>
      <c r="H542" s="30" t="s">
        <v>2674</v>
      </c>
      <c r="I542" s="30" t="s">
        <v>2015</v>
      </c>
      <c r="J542" s="30" t="s">
        <v>2015</v>
      </c>
      <c r="K542" s="30" t="s">
        <v>2018</v>
      </c>
      <c r="L542" s="30" t="s">
        <v>2017</v>
      </c>
      <c r="M542" s="30" t="s">
        <v>2018</v>
      </c>
      <c r="N542" s="30" t="s">
        <v>2018</v>
      </c>
      <c r="O542" s="30" t="s">
        <v>2015</v>
      </c>
      <c r="P542" s="32">
        <v>452</v>
      </c>
      <c r="Q542" s="32">
        <v>262</v>
      </c>
      <c r="R542" s="32">
        <v>37</v>
      </c>
      <c r="S542" s="32">
        <v>14</v>
      </c>
      <c r="T542" s="32">
        <v>5</v>
      </c>
      <c r="U542" s="32">
        <v>30</v>
      </c>
      <c r="V542" s="32">
        <v>23</v>
      </c>
      <c r="W542" s="32">
        <v>11</v>
      </c>
      <c r="X542" s="32">
        <v>67</v>
      </c>
      <c r="Y542" s="32">
        <v>37</v>
      </c>
      <c r="Z542" s="32">
        <v>16</v>
      </c>
      <c r="AA542" s="32">
        <v>104</v>
      </c>
      <c r="AB542" s="32">
        <v>39</v>
      </c>
      <c r="AC542" s="32">
        <v>14</v>
      </c>
      <c r="AD542" s="32">
        <v>39</v>
      </c>
      <c r="AE542" s="32">
        <v>30</v>
      </c>
      <c r="AF542" s="32">
        <v>14</v>
      </c>
      <c r="AG542" s="32">
        <v>143</v>
      </c>
      <c r="AH542" s="32">
        <v>69</v>
      </c>
      <c r="AI542" s="32">
        <v>28</v>
      </c>
      <c r="AJ542" s="32">
        <v>143</v>
      </c>
      <c r="AK542" s="32">
        <v>397</v>
      </c>
      <c r="AL542" s="32">
        <v>36</v>
      </c>
    </row>
    <row r="543" spans="1:38" ht="13.5" hidden="1" customHeight="1">
      <c r="A543" s="30" t="s">
        <v>2272</v>
      </c>
      <c r="B543" s="30" t="s">
        <v>2273</v>
      </c>
      <c r="C543" s="30" t="s">
        <v>235</v>
      </c>
      <c r="D543" s="30" t="s">
        <v>2012</v>
      </c>
      <c r="E543" s="30" t="s">
        <v>2044</v>
      </c>
      <c r="F543" s="30" t="s">
        <v>2045</v>
      </c>
      <c r="G543" s="30"/>
      <c r="H543" s="30" t="s">
        <v>2675</v>
      </c>
      <c r="I543" s="30" t="s">
        <v>2015</v>
      </c>
      <c r="J543" s="30" t="s">
        <v>2015</v>
      </c>
      <c r="K543" s="30" t="s">
        <v>2018</v>
      </c>
      <c r="L543" s="30" t="s">
        <v>2017</v>
      </c>
      <c r="M543" s="30" t="s">
        <v>2018</v>
      </c>
      <c r="N543" s="30" t="s">
        <v>2018</v>
      </c>
      <c r="O543" s="30" t="s">
        <v>2015</v>
      </c>
      <c r="P543" s="32">
        <v>1836</v>
      </c>
      <c r="Q543" s="32">
        <v>1100</v>
      </c>
      <c r="R543" s="32">
        <v>274</v>
      </c>
      <c r="S543" s="32">
        <v>152</v>
      </c>
      <c r="T543" s="32">
        <v>61</v>
      </c>
      <c r="U543" s="32">
        <v>137</v>
      </c>
      <c r="V543" s="32">
        <v>101</v>
      </c>
      <c r="W543" s="32">
        <v>58</v>
      </c>
      <c r="X543" s="32">
        <v>411</v>
      </c>
      <c r="Y543" s="32">
        <v>253</v>
      </c>
      <c r="Z543" s="32">
        <v>119</v>
      </c>
      <c r="AA543" s="32">
        <v>824</v>
      </c>
      <c r="AB543" s="32">
        <v>457</v>
      </c>
      <c r="AC543" s="32">
        <v>185</v>
      </c>
      <c r="AD543" s="32">
        <v>172</v>
      </c>
      <c r="AE543" s="32">
        <v>128</v>
      </c>
      <c r="AF543" s="32">
        <v>75</v>
      </c>
      <c r="AG543" s="32">
        <v>996</v>
      </c>
      <c r="AH543" s="32">
        <v>585</v>
      </c>
      <c r="AI543" s="32">
        <v>260</v>
      </c>
      <c r="AJ543" s="32">
        <v>996</v>
      </c>
      <c r="AK543" s="32">
        <v>1812</v>
      </c>
      <c r="AL543" s="32">
        <v>55</v>
      </c>
    </row>
    <row r="544" spans="1:38" ht="13.5" hidden="1" customHeight="1">
      <c r="A544" s="30" t="s">
        <v>2272</v>
      </c>
      <c r="B544" s="30" t="s">
        <v>2273</v>
      </c>
      <c r="C544" s="30" t="s">
        <v>235</v>
      </c>
      <c r="D544" s="30" t="s">
        <v>2012</v>
      </c>
      <c r="E544" s="30" t="s">
        <v>2044</v>
      </c>
      <c r="F544" s="30" t="s">
        <v>2045</v>
      </c>
      <c r="G544" s="30"/>
      <c r="H544" s="30" t="s">
        <v>2676</v>
      </c>
      <c r="I544" s="30" t="s">
        <v>2015</v>
      </c>
      <c r="J544" s="30" t="s">
        <v>2015</v>
      </c>
      <c r="K544" s="30" t="s">
        <v>2018</v>
      </c>
      <c r="L544" s="30" t="s">
        <v>2017</v>
      </c>
      <c r="M544" s="30" t="s">
        <v>2018</v>
      </c>
      <c r="N544" s="30" t="s">
        <v>2018</v>
      </c>
      <c r="O544" s="30" t="s">
        <v>2015</v>
      </c>
      <c r="P544" s="32">
        <v>45</v>
      </c>
      <c r="Q544" s="32">
        <v>368</v>
      </c>
      <c r="R544" s="32">
        <v>0</v>
      </c>
      <c r="S544" s="32">
        <v>0</v>
      </c>
      <c r="T544" s="32">
        <v>0</v>
      </c>
      <c r="U544" s="32">
        <v>4</v>
      </c>
      <c r="V544" s="32">
        <v>2</v>
      </c>
      <c r="W544" s="32">
        <v>2</v>
      </c>
      <c r="X544" s="32">
        <v>4</v>
      </c>
      <c r="Y544" s="32">
        <v>2</v>
      </c>
      <c r="Z544" s="32">
        <v>2</v>
      </c>
      <c r="AA544" s="32">
        <v>0</v>
      </c>
      <c r="AB544" s="32">
        <v>0</v>
      </c>
      <c r="AC544" s="32">
        <v>0</v>
      </c>
      <c r="AD544" s="32">
        <v>4</v>
      </c>
      <c r="AE544" s="32">
        <v>2</v>
      </c>
      <c r="AF544" s="32">
        <v>2</v>
      </c>
      <c r="AG544" s="32">
        <v>4</v>
      </c>
      <c r="AH544" s="32">
        <v>2</v>
      </c>
      <c r="AI544" s="32">
        <v>2</v>
      </c>
      <c r="AJ544" s="32">
        <v>4</v>
      </c>
      <c r="AK544" s="32">
        <v>18</v>
      </c>
      <c r="AL544" s="32">
        <v>22.2</v>
      </c>
    </row>
    <row r="545" spans="1:38" ht="13.5" hidden="1" customHeight="1">
      <c r="A545" s="30" t="s">
        <v>2272</v>
      </c>
      <c r="B545" s="30" t="s">
        <v>2273</v>
      </c>
      <c r="C545" s="30" t="s">
        <v>235</v>
      </c>
      <c r="D545" s="30" t="s">
        <v>2012</v>
      </c>
      <c r="E545" s="30" t="s">
        <v>2044</v>
      </c>
      <c r="F545" s="30" t="s">
        <v>2045</v>
      </c>
      <c r="G545" s="30"/>
      <c r="H545" s="30" t="s">
        <v>2677</v>
      </c>
      <c r="I545" s="30" t="s">
        <v>2015</v>
      </c>
      <c r="J545" s="30" t="s">
        <v>2015</v>
      </c>
      <c r="K545" s="30" t="s">
        <v>2018</v>
      </c>
      <c r="L545" s="30" t="s">
        <v>2017</v>
      </c>
      <c r="M545" s="30" t="s">
        <v>2018</v>
      </c>
      <c r="N545" s="30" t="s">
        <v>2018</v>
      </c>
      <c r="O545" s="30" t="s">
        <v>2015</v>
      </c>
      <c r="P545" s="32">
        <v>8824</v>
      </c>
      <c r="Q545" s="32">
        <v>4165</v>
      </c>
      <c r="R545" s="32">
        <v>1087</v>
      </c>
      <c r="S545" s="32">
        <v>518</v>
      </c>
      <c r="T545" s="32">
        <v>240</v>
      </c>
      <c r="U545" s="32">
        <v>933</v>
      </c>
      <c r="V545" s="32">
        <v>650</v>
      </c>
      <c r="W545" s="32">
        <v>386</v>
      </c>
      <c r="X545" s="32">
        <v>2020</v>
      </c>
      <c r="Y545" s="32">
        <v>1168</v>
      </c>
      <c r="Z545" s="32">
        <v>626</v>
      </c>
      <c r="AA545" s="32">
        <v>3175</v>
      </c>
      <c r="AB545" s="32">
        <v>1508</v>
      </c>
      <c r="AC545" s="32">
        <v>704</v>
      </c>
      <c r="AD545" s="32">
        <v>1110</v>
      </c>
      <c r="AE545" s="32">
        <v>770</v>
      </c>
      <c r="AF545" s="32">
        <v>453</v>
      </c>
      <c r="AG545" s="32">
        <v>4285</v>
      </c>
      <c r="AH545" s="32">
        <v>2278</v>
      </c>
      <c r="AI545" s="32">
        <v>1157</v>
      </c>
      <c r="AJ545" s="32">
        <v>4285</v>
      </c>
      <c r="AK545" s="32">
        <v>8592</v>
      </c>
      <c r="AL545" s="32">
        <v>49.9</v>
      </c>
    </row>
    <row r="546" spans="1:38" ht="13.5" hidden="1" customHeight="1">
      <c r="A546" s="30" t="s">
        <v>2272</v>
      </c>
      <c r="B546" s="30" t="s">
        <v>2273</v>
      </c>
      <c r="C546" s="30" t="s">
        <v>235</v>
      </c>
      <c r="D546" s="30" t="s">
        <v>2012</v>
      </c>
      <c r="E546" s="30" t="s">
        <v>2044</v>
      </c>
      <c r="F546" s="30" t="s">
        <v>2045</v>
      </c>
      <c r="G546" s="30"/>
      <c r="H546" s="30" t="s">
        <v>2678</v>
      </c>
      <c r="I546" s="30" t="s">
        <v>2015</v>
      </c>
      <c r="J546" s="30" t="s">
        <v>2015</v>
      </c>
      <c r="K546" s="30" t="s">
        <v>2018</v>
      </c>
      <c r="L546" s="30" t="s">
        <v>2017</v>
      </c>
      <c r="M546" s="30" t="s">
        <v>2018</v>
      </c>
      <c r="N546" s="30" t="s">
        <v>2018</v>
      </c>
      <c r="O546" s="30" t="s">
        <v>2015</v>
      </c>
      <c r="P546" s="32">
        <v>930</v>
      </c>
      <c r="Q546" s="32">
        <v>608</v>
      </c>
      <c r="R546" s="32">
        <v>105</v>
      </c>
      <c r="S546" s="32">
        <v>54</v>
      </c>
      <c r="T546" s="32">
        <v>13</v>
      </c>
      <c r="U546" s="32">
        <v>53</v>
      </c>
      <c r="V546" s="32">
        <v>36</v>
      </c>
      <c r="W546" s="32">
        <v>19</v>
      </c>
      <c r="X546" s="32">
        <v>158</v>
      </c>
      <c r="Y546" s="32">
        <v>90</v>
      </c>
      <c r="Z546" s="32">
        <v>32</v>
      </c>
      <c r="AA546" s="32">
        <v>305</v>
      </c>
      <c r="AB546" s="32">
        <v>157</v>
      </c>
      <c r="AC546" s="32">
        <v>38</v>
      </c>
      <c r="AD546" s="32">
        <v>69</v>
      </c>
      <c r="AE546" s="32">
        <v>47</v>
      </c>
      <c r="AF546" s="32">
        <v>25</v>
      </c>
      <c r="AG546" s="32">
        <v>374</v>
      </c>
      <c r="AH546" s="32">
        <v>204</v>
      </c>
      <c r="AI546" s="32">
        <v>63</v>
      </c>
      <c r="AJ546" s="32">
        <v>374</v>
      </c>
      <c r="AK546" s="32">
        <v>930</v>
      </c>
      <c r="AL546" s="32">
        <v>40.200000000000003</v>
      </c>
    </row>
    <row r="547" spans="1:38" ht="13.5" hidden="1" customHeight="1">
      <c r="A547" s="30" t="s">
        <v>2272</v>
      </c>
      <c r="B547" s="30" t="s">
        <v>2273</v>
      </c>
      <c r="C547" s="30" t="s">
        <v>235</v>
      </c>
      <c r="D547" s="30" t="s">
        <v>2012</v>
      </c>
      <c r="E547" s="30" t="s">
        <v>2044</v>
      </c>
      <c r="F547" s="30" t="s">
        <v>2045</v>
      </c>
      <c r="G547" s="30"/>
      <c r="H547" s="30" t="s">
        <v>2679</v>
      </c>
      <c r="I547" s="30" t="s">
        <v>2015</v>
      </c>
      <c r="J547" s="30" t="s">
        <v>2015</v>
      </c>
      <c r="K547" s="30" t="s">
        <v>2018</v>
      </c>
      <c r="L547" s="30" t="s">
        <v>2017</v>
      </c>
      <c r="M547" s="30" t="s">
        <v>2018</v>
      </c>
      <c r="N547" s="30" t="s">
        <v>2018</v>
      </c>
      <c r="O547" s="30" t="s">
        <v>2015</v>
      </c>
      <c r="P547" s="32">
        <v>940</v>
      </c>
      <c r="Q547" s="32">
        <v>581</v>
      </c>
      <c r="R547" s="32">
        <v>115</v>
      </c>
      <c r="S547" s="32">
        <v>54</v>
      </c>
      <c r="T547" s="32">
        <v>24</v>
      </c>
      <c r="U547" s="32">
        <v>98</v>
      </c>
      <c r="V547" s="32">
        <v>63</v>
      </c>
      <c r="W547" s="32">
        <v>26</v>
      </c>
      <c r="X547" s="32">
        <v>213</v>
      </c>
      <c r="Y547" s="32">
        <v>117</v>
      </c>
      <c r="Z547" s="32">
        <v>50</v>
      </c>
      <c r="AA547" s="32">
        <v>334</v>
      </c>
      <c r="AB547" s="32">
        <v>157</v>
      </c>
      <c r="AC547" s="32">
        <v>70</v>
      </c>
      <c r="AD547" s="32">
        <v>137</v>
      </c>
      <c r="AE547" s="32">
        <v>88</v>
      </c>
      <c r="AF547" s="32">
        <v>36</v>
      </c>
      <c r="AG547" s="32">
        <v>471</v>
      </c>
      <c r="AH547" s="32">
        <v>245</v>
      </c>
      <c r="AI547" s="32">
        <v>106</v>
      </c>
      <c r="AJ547" s="32">
        <v>471</v>
      </c>
      <c r="AK547" s="32">
        <v>932</v>
      </c>
      <c r="AL547" s="32">
        <v>50.5</v>
      </c>
    </row>
    <row r="548" spans="1:38" ht="13.5" hidden="1" customHeight="1">
      <c r="A548" s="30" t="s">
        <v>2272</v>
      </c>
      <c r="B548" s="30" t="s">
        <v>2273</v>
      </c>
      <c r="C548" s="30" t="s">
        <v>235</v>
      </c>
      <c r="D548" s="30" t="s">
        <v>2012</v>
      </c>
      <c r="E548" s="30" t="s">
        <v>2044</v>
      </c>
      <c r="F548" s="30" t="s">
        <v>2045</v>
      </c>
      <c r="G548" s="30"/>
      <c r="H548" s="30" t="s">
        <v>2680</v>
      </c>
      <c r="I548" s="30" t="s">
        <v>2015</v>
      </c>
      <c r="J548" s="30" t="s">
        <v>2015</v>
      </c>
      <c r="K548" s="30" t="s">
        <v>2018</v>
      </c>
      <c r="L548" s="30" t="s">
        <v>2017</v>
      </c>
      <c r="M548" s="30" t="s">
        <v>2018</v>
      </c>
      <c r="N548" s="30" t="s">
        <v>2018</v>
      </c>
      <c r="O548" s="30" t="s">
        <v>2015</v>
      </c>
      <c r="P548" s="32">
        <v>578</v>
      </c>
      <c r="Q548" s="32">
        <v>321</v>
      </c>
      <c r="R548" s="32">
        <v>68</v>
      </c>
      <c r="S548" s="32">
        <v>29</v>
      </c>
      <c r="T548" s="32">
        <v>14</v>
      </c>
      <c r="U548" s="32">
        <v>50</v>
      </c>
      <c r="V548" s="32">
        <v>43</v>
      </c>
      <c r="W548" s="32">
        <v>26</v>
      </c>
      <c r="X548" s="32">
        <v>118</v>
      </c>
      <c r="Y548" s="32">
        <v>72</v>
      </c>
      <c r="Z548" s="32">
        <v>40</v>
      </c>
      <c r="AA548" s="32">
        <v>218</v>
      </c>
      <c r="AB548" s="32">
        <v>93</v>
      </c>
      <c r="AC548" s="32">
        <v>45</v>
      </c>
      <c r="AD548" s="32">
        <v>65</v>
      </c>
      <c r="AE548" s="32">
        <v>56</v>
      </c>
      <c r="AF548" s="32">
        <v>34</v>
      </c>
      <c r="AG548" s="32">
        <v>283</v>
      </c>
      <c r="AH548" s="32">
        <v>149</v>
      </c>
      <c r="AI548" s="32">
        <v>79</v>
      </c>
      <c r="AJ548" s="32">
        <v>283</v>
      </c>
      <c r="AK548" s="32">
        <v>512</v>
      </c>
      <c r="AL548" s="32">
        <v>55.3</v>
      </c>
    </row>
    <row r="549" spans="1:38" ht="13.5" hidden="1" customHeight="1">
      <c r="A549" s="30" t="s">
        <v>2272</v>
      </c>
      <c r="B549" s="30" t="s">
        <v>2273</v>
      </c>
      <c r="C549" s="30" t="s">
        <v>235</v>
      </c>
      <c r="D549" s="30" t="s">
        <v>2012</v>
      </c>
      <c r="E549" s="30" t="s">
        <v>2044</v>
      </c>
      <c r="F549" s="30" t="s">
        <v>2045</v>
      </c>
      <c r="G549" s="30"/>
      <c r="H549" s="30" t="s">
        <v>2681</v>
      </c>
      <c r="I549" s="30" t="s">
        <v>2015</v>
      </c>
      <c r="J549" s="30" t="s">
        <v>2015</v>
      </c>
      <c r="K549" s="30" t="s">
        <v>2018</v>
      </c>
      <c r="L549" s="30" t="s">
        <v>2017</v>
      </c>
      <c r="M549" s="30" t="s">
        <v>2018</v>
      </c>
      <c r="N549" s="30" t="s">
        <v>2018</v>
      </c>
      <c r="O549" s="30" t="s">
        <v>2015</v>
      </c>
      <c r="P549" s="32">
        <v>35</v>
      </c>
      <c r="Q549" s="32">
        <v>383</v>
      </c>
      <c r="R549" s="32">
        <v>5</v>
      </c>
      <c r="S549" s="32">
        <v>2</v>
      </c>
      <c r="T549" s="32">
        <v>1</v>
      </c>
      <c r="U549" s="32">
        <v>7</v>
      </c>
      <c r="V549" s="32">
        <v>7</v>
      </c>
      <c r="W549" s="32">
        <v>4</v>
      </c>
      <c r="X549" s="32">
        <v>12</v>
      </c>
      <c r="Y549" s="32">
        <v>9</v>
      </c>
      <c r="Z549" s="32">
        <v>5</v>
      </c>
      <c r="AA549" s="32">
        <v>12</v>
      </c>
      <c r="AB549" s="32">
        <v>5</v>
      </c>
      <c r="AC549" s="32">
        <v>2</v>
      </c>
      <c r="AD549" s="32">
        <v>10</v>
      </c>
      <c r="AE549" s="32">
        <v>10</v>
      </c>
      <c r="AF549" s="32">
        <v>6</v>
      </c>
      <c r="AG549" s="32">
        <v>22</v>
      </c>
      <c r="AH549" s="32">
        <v>15</v>
      </c>
      <c r="AI549" s="32">
        <v>8</v>
      </c>
      <c r="AJ549" s="32">
        <v>22</v>
      </c>
      <c r="AK549" s="32">
        <v>60</v>
      </c>
      <c r="AL549" s="32">
        <v>36.700000000000003</v>
      </c>
    </row>
    <row r="550" spans="1:38" ht="13.5" hidden="1" customHeight="1">
      <c r="A550" s="30" t="s">
        <v>2272</v>
      </c>
      <c r="B550" s="30" t="s">
        <v>2273</v>
      </c>
      <c r="C550" s="30" t="s">
        <v>235</v>
      </c>
      <c r="D550" s="30" t="s">
        <v>2012</v>
      </c>
      <c r="E550" s="30" t="s">
        <v>2044</v>
      </c>
      <c r="F550" s="30" t="s">
        <v>2045</v>
      </c>
      <c r="G550" s="30"/>
      <c r="H550" s="30" t="s">
        <v>2682</v>
      </c>
      <c r="I550" s="30" t="s">
        <v>2015</v>
      </c>
      <c r="J550" s="30" t="s">
        <v>2015</v>
      </c>
      <c r="K550" s="30" t="s">
        <v>2018</v>
      </c>
      <c r="L550" s="30" t="s">
        <v>2017</v>
      </c>
      <c r="M550" s="30" t="s">
        <v>2018</v>
      </c>
      <c r="N550" s="30" t="s">
        <v>2018</v>
      </c>
      <c r="O550" s="30" t="s">
        <v>2015</v>
      </c>
      <c r="P550" s="32">
        <v>47</v>
      </c>
      <c r="Q550" s="32">
        <v>96</v>
      </c>
      <c r="R550" s="32">
        <v>3</v>
      </c>
      <c r="S550" s="32">
        <v>2</v>
      </c>
      <c r="T550" s="32">
        <v>0</v>
      </c>
      <c r="U550" s="32">
        <v>4</v>
      </c>
      <c r="V550" s="32">
        <v>0</v>
      </c>
      <c r="W550" s="32">
        <v>0</v>
      </c>
      <c r="X550" s="32">
        <v>7</v>
      </c>
      <c r="Y550" s="32">
        <v>2</v>
      </c>
      <c r="Z550" s="32">
        <v>0</v>
      </c>
      <c r="AA550" s="32">
        <v>8</v>
      </c>
      <c r="AB550" s="32">
        <v>5</v>
      </c>
      <c r="AC550" s="32">
        <v>0</v>
      </c>
      <c r="AD550" s="32">
        <v>9</v>
      </c>
      <c r="AE550" s="32">
        <v>0</v>
      </c>
      <c r="AF550" s="32">
        <v>0</v>
      </c>
      <c r="AG550" s="32">
        <v>17</v>
      </c>
      <c r="AH550" s="32">
        <v>5</v>
      </c>
      <c r="AI550" s="32">
        <v>0</v>
      </c>
      <c r="AJ550" s="32">
        <v>17</v>
      </c>
      <c r="AK550" s="32">
        <v>48</v>
      </c>
      <c r="AL550" s="32">
        <v>35.4</v>
      </c>
    </row>
    <row r="551" spans="1:38" ht="13.5" hidden="1" customHeight="1">
      <c r="A551" s="30" t="s">
        <v>2272</v>
      </c>
      <c r="B551" s="30" t="s">
        <v>2273</v>
      </c>
      <c r="C551" s="30" t="s">
        <v>235</v>
      </c>
      <c r="D551" s="30" t="s">
        <v>2012</v>
      </c>
      <c r="E551" s="30" t="s">
        <v>2046</v>
      </c>
      <c r="F551" s="30" t="s">
        <v>2047</v>
      </c>
      <c r="G551" s="30"/>
      <c r="H551" s="30" t="s">
        <v>2062</v>
      </c>
      <c r="I551" s="30" t="s">
        <v>2015</v>
      </c>
      <c r="J551" s="30" t="s">
        <v>2015</v>
      </c>
      <c r="K551" s="30" t="s">
        <v>2018</v>
      </c>
      <c r="L551" s="30" t="s">
        <v>2017</v>
      </c>
      <c r="M551" s="30" t="s">
        <v>2018</v>
      </c>
      <c r="N551" s="30" t="s">
        <v>2018</v>
      </c>
      <c r="O551" s="30" t="s">
        <v>2015</v>
      </c>
      <c r="P551" s="32">
        <v>6381</v>
      </c>
      <c r="Q551" s="32">
        <v>3121</v>
      </c>
      <c r="R551" s="32">
        <v>637</v>
      </c>
      <c r="S551" s="32">
        <v>326</v>
      </c>
      <c r="T551" s="32">
        <v>127</v>
      </c>
      <c r="U551" s="32">
        <v>631</v>
      </c>
      <c r="V551" s="32">
        <v>427</v>
      </c>
      <c r="W551" s="32">
        <v>244</v>
      </c>
      <c r="X551" s="32">
        <v>1268</v>
      </c>
      <c r="Y551" s="32">
        <v>753</v>
      </c>
      <c r="Z551" s="32">
        <v>371</v>
      </c>
      <c r="AA551" s="32">
        <v>1824</v>
      </c>
      <c r="AB551" s="32">
        <v>934</v>
      </c>
      <c r="AC551" s="32">
        <v>368</v>
      </c>
      <c r="AD551" s="32">
        <v>763</v>
      </c>
      <c r="AE551" s="32">
        <v>514</v>
      </c>
      <c r="AF551" s="32">
        <v>294</v>
      </c>
      <c r="AG551" s="32">
        <v>2587</v>
      </c>
      <c r="AH551" s="32">
        <v>1448</v>
      </c>
      <c r="AI551" s="32">
        <v>662</v>
      </c>
      <c r="AJ551" s="32">
        <v>2587</v>
      </c>
      <c r="AK551" s="32">
        <v>6163</v>
      </c>
      <c r="AL551" s="32">
        <v>42</v>
      </c>
    </row>
    <row r="552" spans="1:38" ht="13.5" hidden="1" customHeight="1">
      <c r="A552" s="30" t="s">
        <v>2272</v>
      </c>
      <c r="B552" s="30" t="s">
        <v>2273</v>
      </c>
      <c r="C552" s="30" t="s">
        <v>235</v>
      </c>
      <c r="D552" s="30" t="s">
        <v>2012</v>
      </c>
      <c r="E552" s="30" t="s">
        <v>2046</v>
      </c>
      <c r="F552" s="30" t="s">
        <v>2047</v>
      </c>
      <c r="G552" s="30"/>
      <c r="H552" s="30" t="s">
        <v>2683</v>
      </c>
      <c r="I552" s="30" t="s">
        <v>2015</v>
      </c>
      <c r="J552" s="30" t="s">
        <v>2015</v>
      </c>
      <c r="K552" s="30" t="s">
        <v>2018</v>
      </c>
      <c r="L552" s="30" t="s">
        <v>2017</v>
      </c>
      <c r="M552" s="30" t="s">
        <v>2018</v>
      </c>
      <c r="N552" s="30" t="s">
        <v>2018</v>
      </c>
      <c r="O552" s="30" t="s">
        <v>2015</v>
      </c>
      <c r="P552" s="32">
        <v>821</v>
      </c>
      <c r="Q552" s="32">
        <v>393</v>
      </c>
      <c r="R552" s="32">
        <v>104</v>
      </c>
      <c r="S552" s="32">
        <v>33</v>
      </c>
      <c r="T552" s="32">
        <v>12</v>
      </c>
      <c r="U552" s="32">
        <v>78</v>
      </c>
      <c r="V552" s="32">
        <v>54</v>
      </c>
      <c r="W552" s="32">
        <v>38</v>
      </c>
      <c r="X552" s="32">
        <v>182</v>
      </c>
      <c r="Y552" s="32">
        <v>87</v>
      </c>
      <c r="Z552" s="32">
        <v>50</v>
      </c>
      <c r="AA552" s="32">
        <v>291</v>
      </c>
      <c r="AB552" s="32">
        <v>92</v>
      </c>
      <c r="AC552" s="32">
        <v>34</v>
      </c>
      <c r="AD552" s="32">
        <v>86</v>
      </c>
      <c r="AE552" s="32">
        <v>59</v>
      </c>
      <c r="AF552" s="32">
        <v>42</v>
      </c>
      <c r="AG552" s="32">
        <v>377</v>
      </c>
      <c r="AH552" s="32">
        <v>151</v>
      </c>
      <c r="AI552" s="32">
        <v>76</v>
      </c>
      <c r="AJ552" s="32">
        <v>377</v>
      </c>
      <c r="AK552" s="32">
        <v>823</v>
      </c>
      <c r="AL552" s="32">
        <v>45.8</v>
      </c>
    </row>
    <row r="553" spans="1:38" ht="13.5" hidden="1" customHeight="1">
      <c r="A553" s="30" t="s">
        <v>2272</v>
      </c>
      <c r="B553" s="30" t="s">
        <v>2273</v>
      </c>
      <c r="C553" s="30" t="s">
        <v>235</v>
      </c>
      <c r="D553" s="30" t="s">
        <v>2012</v>
      </c>
      <c r="E553" s="30" t="s">
        <v>2046</v>
      </c>
      <c r="F553" s="30" t="s">
        <v>2047</v>
      </c>
      <c r="G553" s="30"/>
      <c r="H553" s="30" t="s">
        <v>2684</v>
      </c>
      <c r="I553" s="30" t="s">
        <v>2015</v>
      </c>
      <c r="J553" s="30" t="s">
        <v>2015</v>
      </c>
      <c r="K553" s="30" t="s">
        <v>2018</v>
      </c>
      <c r="L553" s="30" t="s">
        <v>2017</v>
      </c>
      <c r="M553" s="30" t="s">
        <v>2018</v>
      </c>
      <c r="N553" s="30" t="s">
        <v>2018</v>
      </c>
      <c r="O553" s="30" t="s">
        <v>2015</v>
      </c>
      <c r="P553" s="32">
        <v>1022</v>
      </c>
      <c r="Q553" s="32">
        <v>522</v>
      </c>
      <c r="R553" s="32">
        <v>112</v>
      </c>
      <c r="S553" s="32">
        <v>72</v>
      </c>
      <c r="T553" s="32">
        <v>34</v>
      </c>
      <c r="U553" s="32">
        <v>103</v>
      </c>
      <c r="V553" s="32">
        <v>73</v>
      </c>
      <c r="W553" s="32">
        <v>57</v>
      </c>
      <c r="X553" s="32">
        <v>215</v>
      </c>
      <c r="Y553" s="32">
        <v>145</v>
      </c>
      <c r="Z553" s="32">
        <v>91</v>
      </c>
      <c r="AA553" s="32">
        <v>358</v>
      </c>
      <c r="AB553" s="32">
        <v>230</v>
      </c>
      <c r="AC553" s="32">
        <v>109</v>
      </c>
      <c r="AD553" s="32">
        <v>124</v>
      </c>
      <c r="AE553" s="32">
        <v>88</v>
      </c>
      <c r="AF553" s="32">
        <v>68</v>
      </c>
      <c r="AG553" s="32">
        <v>482</v>
      </c>
      <c r="AH553" s="32">
        <v>318</v>
      </c>
      <c r="AI553" s="32">
        <v>177</v>
      </c>
      <c r="AJ553" s="32">
        <v>482</v>
      </c>
      <c r="AK553" s="32">
        <v>1012</v>
      </c>
      <c r="AL553" s="32">
        <v>47.6</v>
      </c>
    </row>
    <row r="554" spans="1:38" ht="13.5" hidden="1" customHeight="1">
      <c r="A554" s="30" t="s">
        <v>2272</v>
      </c>
      <c r="B554" s="30" t="s">
        <v>2273</v>
      </c>
      <c r="C554" s="30" t="s">
        <v>235</v>
      </c>
      <c r="D554" s="30" t="s">
        <v>2012</v>
      </c>
      <c r="E554" s="30" t="s">
        <v>2046</v>
      </c>
      <c r="F554" s="30" t="s">
        <v>2047</v>
      </c>
      <c r="G554" s="30"/>
      <c r="H554" s="30" t="s">
        <v>2685</v>
      </c>
      <c r="I554" s="30" t="s">
        <v>2015</v>
      </c>
      <c r="J554" s="30" t="s">
        <v>2015</v>
      </c>
      <c r="K554" s="30" t="s">
        <v>2018</v>
      </c>
      <c r="L554" s="30" t="s">
        <v>2017</v>
      </c>
      <c r="M554" s="30" t="s">
        <v>2018</v>
      </c>
      <c r="N554" s="30" t="s">
        <v>2018</v>
      </c>
      <c r="O554" s="30" t="s">
        <v>2015</v>
      </c>
      <c r="P554" s="32">
        <v>1142</v>
      </c>
      <c r="Q554" s="32">
        <v>649</v>
      </c>
      <c r="R554" s="32">
        <v>163</v>
      </c>
      <c r="S554" s="32">
        <v>93</v>
      </c>
      <c r="T554" s="32">
        <v>45</v>
      </c>
      <c r="U554" s="32">
        <v>66</v>
      </c>
      <c r="V554" s="32">
        <v>39</v>
      </c>
      <c r="W554" s="32">
        <v>18</v>
      </c>
      <c r="X554" s="32">
        <v>229</v>
      </c>
      <c r="Y554" s="32">
        <v>132</v>
      </c>
      <c r="Z554" s="32">
        <v>63</v>
      </c>
      <c r="AA554" s="32">
        <v>505</v>
      </c>
      <c r="AB554" s="32">
        <v>288</v>
      </c>
      <c r="AC554" s="32">
        <v>140</v>
      </c>
      <c r="AD554" s="32">
        <v>86</v>
      </c>
      <c r="AE554" s="32">
        <v>51</v>
      </c>
      <c r="AF554" s="32">
        <v>23</v>
      </c>
      <c r="AG554" s="32">
        <v>591</v>
      </c>
      <c r="AH554" s="32">
        <v>339</v>
      </c>
      <c r="AI554" s="32">
        <v>163</v>
      </c>
      <c r="AJ554" s="32">
        <v>591</v>
      </c>
      <c r="AK554" s="32">
        <v>1130</v>
      </c>
      <c r="AL554" s="32">
        <v>52.3</v>
      </c>
    </row>
    <row r="555" spans="1:38" ht="13.5" hidden="1" customHeight="1">
      <c r="A555" s="30" t="s">
        <v>2272</v>
      </c>
      <c r="B555" s="30" t="s">
        <v>2273</v>
      </c>
      <c r="C555" s="30" t="s">
        <v>235</v>
      </c>
      <c r="D555" s="30" t="s">
        <v>2012</v>
      </c>
      <c r="E555" s="30" t="s">
        <v>2046</v>
      </c>
      <c r="F555" s="30" t="s">
        <v>2047</v>
      </c>
      <c r="G555" s="30"/>
      <c r="H555" s="30" t="s">
        <v>2686</v>
      </c>
      <c r="I555" s="30" t="s">
        <v>2015</v>
      </c>
      <c r="J555" s="30" t="s">
        <v>2015</v>
      </c>
      <c r="K555" s="30" t="s">
        <v>2018</v>
      </c>
      <c r="L555" s="30" t="s">
        <v>2017</v>
      </c>
      <c r="M555" s="30" t="s">
        <v>2018</v>
      </c>
      <c r="N555" s="30" t="s">
        <v>2018</v>
      </c>
      <c r="O555" s="30" t="s">
        <v>2015</v>
      </c>
      <c r="P555" s="32">
        <v>1041</v>
      </c>
      <c r="Q555" s="32">
        <v>469</v>
      </c>
      <c r="R555" s="32">
        <v>133</v>
      </c>
      <c r="S555" s="32">
        <v>75</v>
      </c>
      <c r="T555" s="32">
        <v>35</v>
      </c>
      <c r="U555" s="32">
        <v>58</v>
      </c>
      <c r="V555" s="32">
        <v>31</v>
      </c>
      <c r="W555" s="32">
        <v>11</v>
      </c>
      <c r="X555" s="32">
        <v>191</v>
      </c>
      <c r="Y555" s="32">
        <v>106</v>
      </c>
      <c r="Z555" s="32">
        <v>46</v>
      </c>
      <c r="AA555" s="32">
        <v>412</v>
      </c>
      <c r="AB555" s="32">
        <v>233</v>
      </c>
      <c r="AC555" s="32">
        <v>109</v>
      </c>
      <c r="AD555" s="32">
        <v>75</v>
      </c>
      <c r="AE555" s="32">
        <v>40</v>
      </c>
      <c r="AF555" s="32">
        <v>14</v>
      </c>
      <c r="AG555" s="32">
        <v>487</v>
      </c>
      <c r="AH555" s="32">
        <v>273</v>
      </c>
      <c r="AI555" s="32">
        <v>123</v>
      </c>
      <c r="AJ555" s="32">
        <v>487</v>
      </c>
      <c r="AK555" s="32">
        <v>1041</v>
      </c>
      <c r="AL555" s="32">
        <v>46.8</v>
      </c>
    </row>
    <row r="556" spans="1:38" ht="13.5" hidden="1" customHeight="1">
      <c r="A556" s="30" t="s">
        <v>2272</v>
      </c>
      <c r="B556" s="30" t="s">
        <v>2273</v>
      </c>
      <c r="C556" s="30" t="s">
        <v>235</v>
      </c>
      <c r="D556" s="30" t="s">
        <v>2012</v>
      </c>
      <c r="E556" s="30" t="s">
        <v>2046</v>
      </c>
      <c r="F556" s="30" t="s">
        <v>2047</v>
      </c>
      <c r="G556" s="30"/>
      <c r="H556" s="30" t="s">
        <v>2687</v>
      </c>
      <c r="I556" s="30" t="s">
        <v>2015</v>
      </c>
      <c r="J556" s="30" t="s">
        <v>2015</v>
      </c>
      <c r="K556" s="30" t="s">
        <v>2018</v>
      </c>
      <c r="L556" s="30" t="s">
        <v>2017</v>
      </c>
      <c r="M556" s="30" t="s">
        <v>2018</v>
      </c>
      <c r="N556" s="30" t="s">
        <v>2018</v>
      </c>
      <c r="O556" s="30" t="s">
        <v>2015</v>
      </c>
      <c r="P556" s="32">
        <v>645</v>
      </c>
      <c r="Q556" s="32">
        <v>321</v>
      </c>
      <c r="R556" s="32">
        <v>71</v>
      </c>
      <c r="S556" s="32">
        <v>42</v>
      </c>
      <c r="T556" s="32">
        <v>15</v>
      </c>
      <c r="U556" s="32">
        <v>39</v>
      </c>
      <c r="V556" s="32">
        <v>31</v>
      </c>
      <c r="W556" s="32">
        <v>24</v>
      </c>
      <c r="X556" s="32">
        <v>110</v>
      </c>
      <c r="Y556" s="32">
        <v>73</v>
      </c>
      <c r="Z556" s="32">
        <v>39</v>
      </c>
      <c r="AA556" s="32">
        <v>206</v>
      </c>
      <c r="AB556" s="32">
        <v>122</v>
      </c>
      <c r="AC556" s="32">
        <v>44</v>
      </c>
      <c r="AD556" s="32">
        <v>51</v>
      </c>
      <c r="AE556" s="32">
        <v>40</v>
      </c>
      <c r="AF556" s="32">
        <v>31</v>
      </c>
      <c r="AG556" s="32">
        <v>257</v>
      </c>
      <c r="AH556" s="32">
        <v>162</v>
      </c>
      <c r="AI556" s="32">
        <v>75</v>
      </c>
      <c r="AJ556" s="32">
        <v>257</v>
      </c>
      <c r="AK556" s="32">
        <v>650</v>
      </c>
      <c r="AL556" s="32">
        <v>39.5</v>
      </c>
    </row>
    <row r="557" spans="1:38" ht="13.5" hidden="1" customHeight="1">
      <c r="A557" s="30" t="s">
        <v>2272</v>
      </c>
      <c r="B557" s="30" t="s">
        <v>2273</v>
      </c>
      <c r="C557" s="30" t="s">
        <v>235</v>
      </c>
      <c r="D557" s="30" t="s">
        <v>2012</v>
      </c>
      <c r="E557" s="30" t="s">
        <v>2046</v>
      </c>
      <c r="F557" s="30" t="s">
        <v>2047</v>
      </c>
      <c r="G557" s="30"/>
      <c r="H557" s="30" t="s">
        <v>2688</v>
      </c>
      <c r="I557" s="30" t="s">
        <v>2015</v>
      </c>
      <c r="J557" s="30" t="s">
        <v>2015</v>
      </c>
      <c r="K557" s="30" t="s">
        <v>2018</v>
      </c>
      <c r="L557" s="30" t="s">
        <v>2017</v>
      </c>
      <c r="M557" s="30" t="s">
        <v>2018</v>
      </c>
      <c r="N557" s="30" t="s">
        <v>2018</v>
      </c>
      <c r="O557" s="30" t="s">
        <v>2015</v>
      </c>
      <c r="P557" s="32">
        <v>603</v>
      </c>
      <c r="Q557" s="32">
        <v>741</v>
      </c>
      <c r="R557" s="32">
        <v>30</v>
      </c>
      <c r="S557" s="32">
        <v>18</v>
      </c>
      <c r="T557" s="32">
        <v>7</v>
      </c>
      <c r="U557" s="32">
        <v>58</v>
      </c>
      <c r="V557" s="32">
        <v>35</v>
      </c>
      <c r="W557" s="32">
        <v>17</v>
      </c>
      <c r="X557" s="32">
        <v>88</v>
      </c>
      <c r="Y557" s="32">
        <v>53</v>
      </c>
      <c r="Z557" s="32">
        <v>24</v>
      </c>
      <c r="AA557" s="32">
        <v>87</v>
      </c>
      <c r="AB557" s="32">
        <v>52</v>
      </c>
      <c r="AC557" s="32">
        <v>20</v>
      </c>
      <c r="AD557" s="32">
        <v>70</v>
      </c>
      <c r="AE557" s="32">
        <v>42</v>
      </c>
      <c r="AF557" s="32">
        <v>20</v>
      </c>
      <c r="AG557" s="32">
        <v>157</v>
      </c>
      <c r="AH557" s="32">
        <v>94</v>
      </c>
      <c r="AI557" s="32">
        <v>40</v>
      </c>
      <c r="AJ557" s="32">
        <v>157</v>
      </c>
      <c r="AK557" s="32">
        <v>610</v>
      </c>
      <c r="AL557" s="32">
        <v>25.7</v>
      </c>
    </row>
    <row r="558" spans="1:38" ht="13.5" hidden="1" customHeight="1">
      <c r="A558" s="30" t="s">
        <v>2272</v>
      </c>
      <c r="B558" s="30" t="s">
        <v>2273</v>
      </c>
      <c r="C558" s="30" t="s">
        <v>235</v>
      </c>
      <c r="D558" s="30" t="s">
        <v>2012</v>
      </c>
      <c r="E558" s="30" t="s">
        <v>2046</v>
      </c>
      <c r="F558" s="30" t="s">
        <v>2047</v>
      </c>
      <c r="G558" s="30"/>
      <c r="H558" s="30" t="s">
        <v>2689</v>
      </c>
      <c r="I558" s="30" t="s">
        <v>2015</v>
      </c>
      <c r="J558" s="30" t="s">
        <v>2015</v>
      </c>
      <c r="K558" s="30" t="s">
        <v>2018</v>
      </c>
      <c r="L558" s="30" t="s">
        <v>2017</v>
      </c>
      <c r="M558" s="30" t="s">
        <v>2018</v>
      </c>
      <c r="N558" s="30" t="s">
        <v>2018</v>
      </c>
      <c r="O558" s="30" t="s">
        <v>2015</v>
      </c>
      <c r="P558" s="32">
        <v>506</v>
      </c>
      <c r="Q558" s="32">
        <v>241</v>
      </c>
      <c r="R558" s="32">
        <v>50</v>
      </c>
      <c r="S558" s="32">
        <v>30</v>
      </c>
      <c r="T558" s="32">
        <v>17</v>
      </c>
      <c r="U558" s="32">
        <v>57</v>
      </c>
      <c r="V558" s="32">
        <v>40</v>
      </c>
      <c r="W558" s="32">
        <v>25</v>
      </c>
      <c r="X558" s="32">
        <v>107</v>
      </c>
      <c r="Y558" s="32">
        <v>70</v>
      </c>
      <c r="Z558" s="32">
        <v>42</v>
      </c>
      <c r="AA558" s="32">
        <v>150</v>
      </c>
      <c r="AB558" s="32">
        <v>90</v>
      </c>
      <c r="AC558" s="32">
        <v>51</v>
      </c>
      <c r="AD558" s="32">
        <v>74</v>
      </c>
      <c r="AE558" s="32">
        <v>52</v>
      </c>
      <c r="AF558" s="32">
        <v>33</v>
      </c>
      <c r="AG558" s="32">
        <v>224</v>
      </c>
      <c r="AH558" s="32">
        <v>142</v>
      </c>
      <c r="AI558" s="32">
        <v>84</v>
      </c>
      <c r="AJ558" s="32">
        <v>224</v>
      </c>
      <c r="AK558" s="32">
        <v>493</v>
      </c>
      <c r="AL558" s="32">
        <v>45.4</v>
      </c>
    </row>
    <row r="559" spans="1:38" ht="13.5" hidden="1" customHeight="1">
      <c r="A559" s="30" t="s">
        <v>2272</v>
      </c>
      <c r="B559" s="30" t="s">
        <v>2273</v>
      </c>
      <c r="C559" s="30" t="s">
        <v>235</v>
      </c>
      <c r="D559" s="30" t="s">
        <v>2012</v>
      </c>
      <c r="E559" s="30" t="s">
        <v>2046</v>
      </c>
      <c r="F559" s="30" t="s">
        <v>2047</v>
      </c>
      <c r="G559" s="30"/>
      <c r="H559" s="30" t="s">
        <v>2690</v>
      </c>
      <c r="I559" s="30" t="s">
        <v>2015</v>
      </c>
      <c r="J559" s="30" t="s">
        <v>2015</v>
      </c>
      <c r="K559" s="30" t="s">
        <v>2018</v>
      </c>
      <c r="L559" s="30" t="s">
        <v>2017</v>
      </c>
      <c r="M559" s="30" t="s">
        <v>2018</v>
      </c>
      <c r="N559" s="30" t="s">
        <v>2018</v>
      </c>
      <c r="O559" s="30" t="s">
        <v>2015</v>
      </c>
      <c r="P559" s="32">
        <v>747</v>
      </c>
      <c r="Q559" s="32">
        <v>324</v>
      </c>
      <c r="R559" s="32">
        <v>84</v>
      </c>
      <c r="S559" s="32">
        <v>45</v>
      </c>
      <c r="T559" s="32">
        <v>19</v>
      </c>
      <c r="U559" s="32">
        <v>56</v>
      </c>
      <c r="V559" s="32">
        <v>40</v>
      </c>
      <c r="W559" s="32">
        <v>24</v>
      </c>
      <c r="X559" s="32">
        <v>140</v>
      </c>
      <c r="Y559" s="32">
        <v>85</v>
      </c>
      <c r="Z559" s="32">
        <v>43</v>
      </c>
      <c r="AA559" s="32">
        <v>277</v>
      </c>
      <c r="AB559" s="32">
        <v>149</v>
      </c>
      <c r="AC559" s="32">
        <v>63</v>
      </c>
      <c r="AD559" s="32">
        <v>73</v>
      </c>
      <c r="AE559" s="32">
        <v>52</v>
      </c>
      <c r="AF559" s="32">
        <v>31</v>
      </c>
      <c r="AG559" s="32">
        <v>350</v>
      </c>
      <c r="AH559" s="32">
        <v>201</v>
      </c>
      <c r="AI559" s="32">
        <v>94</v>
      </c>
      <c r="AJ559" s="32">
        <v>350</v>
      </c>
      <c r="AK559" s="32">
        <v>751</v>
      </c>
      <c r="AL559" s="32">
        <v>46.6</v>
      </c>
    </row>
    <row r="560" spans="1:38" ht="13.5" hidden="1" customHeight="1">
      <c r="A560" s="30" t="s">
        <v>2272</v>
      </c>
      <c r="B560" s="30" t="s">
        <v>2273</v>
      </c>
      <c r="C560" s="30" t="s">
        <v>235</v>
      </c>
      <c r="D560" s="30" t="s">
        <v>2012</v>
      </c>
      <c r="E560" s="30" t="s">
        <v>2046</v>
      </c>
      <c r="F560" s="30" t="s">
        <v>2047</v>
      </c>
      <c r="G560" s="30"/>
      <c r="H560" s="30" t="s">
        <v>2691</v>
      </c>
      <c r="I560" s="30" t="s">
        <v>2015</v>
      </c>
      <c r="J560" s="30" t="s">
        <v>2015</v>
      </c>
      <c r="K560" s="30" t="s">
        <v>2018</v>
      </c>
      <c r="L560" s="30" t="s">
        <v>2017</v>
      </c>
      <c r="M560" s="30" t="s">
        <v>2018</v>
      </c>
      <c r="N560" s="30" t="s">
        <v>2018</v>
      </c>
      <c r="O560" s="30" t="s">
        <v>2015</v>
      </c>
      <c r="P560" s="32">
        <v>927</v>
      </c>
      <c r="Q560" s="32">
        <v>674</v>
      </c>
      <c r="R560" s="32">
        <v>114</v>
      </c>
      <c r="S560" s="32">
        <v>70</v>
      </c>
      <c r="T560" s="32">
        <v>38</v>
      </c>
      <c r="U560" s="32">
        <v>60</v>
      </c>
      <c r="V560" s="32">
        <v>43</v>
      </c>
      <c r="W560" s="32">
        <v>22</v>
      </c>
      <c r="X560" s="32">
        <v>174</v>
      </c>
      <c r="Y560" s="32">
        <v>113</v>
      </c>
      <c r="Z560" s="32">
        <v>60</v>
      </c>
      <c r="AA560" s="32">
        <v>353</v>
      </c>
      <c r="AB560" s="32">
        <v>217</v>
      </c>
      <c r="AC560" s="32">
        <v>118</v>
      </c>
      <c r="AD560" s="32">
        <v>78</v>
      </c>
      <c r="AE560" s="32">
        <v>56</v>
      </c>
      <c r="AF560" s="32">
        <v>29</v>
      </c>
      <c r="AG560" s="32">
        <v>431</v>
      </c>
      <c r="AH560" s="32">
        <v>273</v>
      </c>
      <c r="AI560" s="32">
        <v>147</v>
      </c>
      <c r="AJ560" s="32">
        <v>431</v>
      </c>
      <c r="AK560" s="32">
        <v>924</v>
      </c>
      <c r="AL560" s="32">
        <v>46.6</v>
      </c>
    </row>
    <row r="561" spans="1:38" ht="13.5" hidden="1" customHeight="1">
      <c r="A561" s="30" t="s">
        <v>2272</v>
      </c>
      <c r="B561" s="30" t="s">
        <v>2273</v>
      </c>
      <c r="C561" s="30" t="s">
        <v>235</v>
      </c>
      <c r="D561" s="30" t="s">
        <v>2012</v>
      </c>
      <c r="E561" s="30" t="s">
        <v>2046</v>
      </c>
      <c r="F561" s="30" t="s">
        <v>2047</v>
      </c>
      <c r="G561" s="30"/>
      <c r="H561" s="30" t="s">
        <v>2692</v>
      </c>
      <c r="I561" s="30" t="s">
        <v>2015</v>
      </c>
      <c r="J561" s="30" t="s">
        <v>2015</v>
      </c>
      <c r="K561" s="30" t="s">
        <v>2018</v>
      </c>
      <c r="L561" s="30" t="s">
        <v>2017</v>
      </c>
      <c r="M561" s="30" t="s">
        <v>2018</v>
      </c>
      <c r="N561" s="30" t="s">
        <v>2018</v>
      </c>
      <c r="O561" s="30" t="s">
        <v>2015</v>
      </c>
      <c r="P561" s="32">
        <v>2042</v>
      </c>
      <c r="Q561" s="32">
        <v>1272</v>
      </c>
      <c r="R561" s="32">
        <v>143</v>
      </c>
      <c r="S561" s="32">
        <v>72</v>
      </c>
      <c r="T561" s="32">
        <v>38</v>
      </c>
      <c r="U561" s="32">
        <v>126</v>
      </c>
      <c r="V561" s="32">
        <v>84</v>
      </c>
      <c r="W561" s="32">
        <v>53</v>
      </c>
      <c r="X561" s="32">
        <v>269</v>
      </c>
      <c r="Y561" s="32">
        <v>156</v>
      </c>
      <c r="Z561" s="32">
        <v>91</v>
      </c>
      <c r="AA561" s="32">
        <v>407</v>
      </c>
      <c r="AB561" s="32">
        <v>205</v>
      </c>
      <c r="AC561" s="32">
        <v>108</v>
      </c>
      <c r="AD561" s="32">
        <v>157</v>
      </c>
      <c r="AE561" s="32">
        <v>104</v>
      </c>
      <c r="AF561" s="32">
        <v>66</v>
      </c>
      <c r="AG561" s="32">
        <v>564</v>
      </c>
      <c r="AH561" s="32">
        <v>309</v>
      </c>
      <c r="AI561" s="32">
        <v>174</v>
      </c>
      <c r="AJ561" s="32">
        <v>564</v>
      </c>
      <c r="AK561" s="32">
        <v>2042</v>
      </c>
      <c r="AL561" s="32">
        <v>27.6</v>
      </c>
    </row>
    <row r="562" spans="1:38" ht="13.5" hidden="1" customHeight="1">
      <c r="A562" s="30" t="s">
        <v>2272</v>
      </c>
      <c r="B562" s="30" t="s">
        <v>2273</v>
      </c>
      <c r="C562" s="30" t="s">
        <v>235</v>
      </c>
      <c r="D562" s="30" t="s">
        <v>2012</v>
      </c>
      <c r="E562" s="30" t="s">
        <v>2046</v>
      </c>
      <c r="F562" s="30" t="s">
        <v>2047</v>
      </c>
      <c r="G562" s="30"/>
      <c r="H562" s="30" t="s">
        <v>2693</v>
      </c>
      <c r="I562" s="30" t="s">
        <v>2015</v>
      </c>
      <c r="J562" s="30" t="s">
        <v>2015</v>
      </c>
      <c r="K562" s="30" t="s">
        <v>2018</v>
      </c>
      <c r="L562" s="30" t="s">
        <v>2017</v>
      </c>
      <c r="M562" s="30" t="s">
        <v>2018</v>
      </c>
      <c r="N562" s="30" t="s">
        <v>2018</v>
      </c>
      <c r="O562" s="30" t="s">
        <v>2015</v>
      </c>
      <c r="P562" s="32">
        <v>882</v>
      </c>
      <c r="Q562" s="32">
        <v>421</v>
      </c>
      <c r="R562" s="32">
        <v>107</v>
      </c>
      <c r="S562" s="32">
        <v>64</v>
      </c>
      <c r="T562" s="32">
        <v>29</v>
      </c>
      <c r="U562" s="32">
        <v>69</v>
      </c>
      <c r="V562" s="32">
        <v>51</v>
      </c>
      <c r="W562" s="32">
        <v>28</v>
      </c>
      <c r="X562" s="32">
        <v>176</v>
      </c>
      <c r="Y562" s="32">
        <v>115</v>
      </c>
      <c r="Z562" s="32">
        <v>57</v>
      </c>
      <c r="AA562" s="32">
        <v>342</v>
      </c>
      <c r="AB562" s="32">
        <v>205</v>
      </c>
      <c r="AC562" s="32">
        <v>93</v>
      </c>
      <c r="AD562" s="32">
        <v>97</v>
      </c>
      <c r="AE562" s="32">
        <v>71</v>
      </c>
      <c r="AF562" s="32">
        <v>39</v>
      </c>
      <c r="AG562" s="32">
        <v>439</v>
      </c>
      <c r="AH562" s="32">
        <v>276</v>
      </c>
      <c r="AI562" s="32">
        <v>132</v>
      </c>
      <c r="AJ562" s="32">
        <v>439</v>
      </c>
      <c r="AK562" s="32">
        <v>894</v>
      </c>
      <c r="AL562" s="32">
        <v>49.1</v>
      </c>
    </row>
    <row r="563" spans="1:38" ht="13.5" hidden="1" customHeight="1">
      <c r="A563" s="30" t="s">
        <v>2272</v>
      </c>
      <c r="B563" s="30" t="s">
        <v>2273</v>
      </c>
      <c r="C563" s="30" t="s">
        <v>235</v>
      </c>
      <c r="D563" s="30" t="s">
        <v>2012</v>
      </c>
      <c r="E563" s="30" t="s">
        <v>2046</v>
      </c>
      <c r="F563" s="30" t="s">
        <v>2047</v>
      </c>
      <c r="G563" s="30"/>
      <c r="H563" s="30" t="s">
        <v>2694</v>
      </c>
      <c r="I563" s="30" t="s">
        <v>2015</v>
      </c>
      <c r="J563" s="30" t="s">
        <v>2015</v>
      </c>
      <c r="K563" s="30" t="s">
        <v>2018</v>
      </c>
      <c r="L563" s="30" t="s">
        <v>2017</v>
      </c>
      <c r="M563" s="30" t="s">
        <v>2018</v>
      </c>
      <c r="N563" s="30" t="s">
        <v>2018</v>
      </c>
      <c r="O563" s="30" t="s">
        <v>2015</v>
      </c>
      <c r="P563" s="32">
        <v>1002</v>
      </c>
      <c r="Q563" s="32">
        <v>483</v>
      </c>
      <c r="R563" s="32">
        <v>122</v>
      </c>
      <c r="S563" s="32">
        <v>66</v>
      </c>
      <c r="T563" s="32">
        <v>26</v>
      </c>
      <c r="U563" s="32">
        <v>77</v>
      </c>
      <c r="V563" s="32">
        <v>50</v>
      </c>
      <c r="W563" s="32">
        <v>32</v>
      </c>
      <c r="X563" s="32">
        <v>199</v>
      </c>
      <c r="Y563" s="32">
        <v>116</v>
      </c>
      <c r="Z563" s="32">
        <v>58</v>
      </c>
      <c r="AA563" s="32">
        <v>378</v>
      </c>
      <c r="AB563" s="32">
        <v>205</v>
      </c>
      <c r="AC563" s="32">
        <v>81</v>
      </c>
      <c r="AD563" s="32">
        <v>92</v>
      </c>
      <c r="AE563" s="32">
        <v>60</v>
      </c>
      <c r="AF563" s="32">
        <v>38</v>
      </c>
      <c r="AG563" s="32">
        <v>470</v>
      </c>
      <c r="AH563" s="32">
        <v>265</v>
      </c>
      <c r="AI563" s="32">
        <v>119</v>
      </c>
      <c r="AJ563" s="32">
        <v>470</v>
      </c>
      <c r="AK563" s="32">
        <v>1002</v>
      </c>
      <c r="AL563" s="32">
        <v>46.9</v>
      </c>
    </row>
    <row r="564" spans="1:38" ht="13.5" hidden="1" customHeight="1">
      <c r="A564" s="30" t="s">
        <v>2272</v>
      </c>
      <c r="B564" s="30" t="s">
        <v>2273</v>
      </c>
      <c r="C564" s="30" t="s">
        <v>235</v>
      </c>
      <c r="D564" s="30" t="s">
        <v>2012</v>
      </c>
      <c r="E564" s="30" t="s">
        <v>2046</v>
      </c>
      <c r="F564" s="30" t="s">
        <v>2047</v>
      </c>
      <c r="G564" s="30"/>
      <c r="H564" s="30" t="s">
        <v>2695</v>
      </c>
      <c r="I564" s="30" t="s">
        <v>2015</v>
      </c>
      <c r="J564" s="30" t="s">
        <v>2015</v>
      </c>
      <c r="K564" s="30" t="s">
        <v>2018</v>
      </c>
      <c r="L564" s="30" t="s">
        <v>2017</v>
      </c>
      <c r="M564" s="30" t="s">
        <v>2018</v>
      </c>
      <c r="N564" s="30" t="s">
        <v>2018</v>
      </c>
      <c r="O564" s="30" t="s">
        <v>2015</v>
      </c>
      <c r="P564" s="32">
        <v>774</v>
      </c>
      <c r="Q564" s="32">
        <v>331</v>
      </c>
      <c r="R564" s="32">
        <v>98</v>
      </c>
      <c r="S564" s="32">
        <v>49</v>
      </c>
      <c r="T564" s="32">
        <v>23</v>
      </c>
      <c r="U564" s="32">
        <v>35</v>
      </c>
      <c r="V564" s="32">
        <v>23</v>
      </c>
      <c r="W564" s="32">
        <v>5</v>
      </c>
      <c r="X564" s="32">
        <v>133</v>
      </c>
      <c r="Y564" s="32">
        <v>72</v>
      </c>
      <c r="Z564" s="32">
        <v>28</v>
      </c>
      <c r="AA564" s="32">
        <v>304</v>
      </c>
      <c r="AB564" s="32">
        <v>152</v>
      </c>
      <c r="AC564" s="32">
        <v>71</v>
      </c>
      <c r="AD564" s="32">
        <v>46</v>
      </c>
      <c r="AE564" s="32">
        <v>30</v>
      </c>
      <c r="AF564" s="32">
        <v>7</v>
      </c>
      <c r="AG564" s="32">
        <v>350</v>
      </c>
      <c r="AH564" s="32">
        <v>182</v>
      </c>
      <c r="AI564" s="32">
        <v>78</v>
      </c>
      <c r="AJ564" s="32">
        <v>350</v>
      </c>
      <c r="AK564" s="32">
        <v>768</v>
      </c>
      <c r="AL564" s="32">
        <v>45.6</v>
      </c>
    </row>
    <row r="565" spans="1:38" ht="13.5" hidden="1" customHeight="1">
      <c r="A565" s="30" t="s">
        <v>2272</v>
      </c>
      <c r="B565" s="30" t="s">
        <v>2273</v>
      </c>
      <c r="C565" s="30" t="s">
        <v>235</v>
      </c>
      <c r="D565" s="30" t="s">
        <v>2012</v>
      </c>
      <c r="E565" s="30" t="s">
        <v>2046</v>
      </c>
      <c r="F565" s="30" t="s">
        <v>2047</v>
      </c>
      <c r="G565" s="30"/>
      <c r="H565" s="30" t="s">
        <v>2696</v>
      </c>
      <c r="I565" s="30" t="s">
        <v>2015</v>
      </c>
      <c r="J565" s="30" t="s">
        <v>2015</v>
      </c>
      <c r="K565" s="30" t="s">
        <v>2018</v>
      </c>
      <c r="L565" s="30" t="s">
        <v>2017</v>
      </c>
      <c r="M565" s="30" t="s">
        <v>2018</v>
      </c>
      <c r="N565" s="30" t="s">
        <v>2018</v>
      </c>
      <c r="O565" s="30" t="s">
        <v>2015</v>
      </c>
      <c r="P565" s="32">
        <v>1331</v>
      </c>
      <c r="Q565" s="32">
        <v>943</v>
      </c>
      <c r="R565" s="32">
        <v>112</v>
      </c>
      <c r="S565" s="32">
        <v>51</v>
      </c>
      <c r="T565" s="32">
        <v>15</v>
      </c>
      <c r="U565" s="32">
        <v>99</v>
      </c>
      <c r="V565" s="32">
        <v>75</v>
      </c>
      <c r="W565" s="32">
        <v>49</v>
      </c>
      <c r="X565" s="32">
        <v>211</v>
      </c>
      <c r="Y565" s="32">
        <v>126</v>
      </c>
      <c r="Z565" s="32">
        <v>64</v>
      </c>
      <c r="AA565" s="32">
        <v>324</v>
      </c>
      <c r="AB565" s="32">
        <v>147</v>
      </c>
      <c r="AC565" s="32">
        <v>44</v>
      </c>
      <c r="AD565" s="32">
        <v>123</v>
      </c>
      <c r="AE565" s="32">
        <v>93</v>
      </c>
      <c r="AF565" s="32">
        <v>61</v>
      </c>
      <c r="AG565" s="32">
        <v>447</v>
      </c>
      <c r="AH565" s="32">
        <v>240</v>
      </c>
      <c r="AI565" s="32">
        <v>105</v>
      </c>
      <c r="AJ565" s="32">
        <v>447</v>
      </c>
      <c r="AK565" s="32">
        <v>1324</v>
      </c>
      <c r="AL565" s="32">
        <v>33.799999999999997</v>
      </c>
    </row>
    <row r="566" spans="1:38" ht="13.5" hidden="1" customHeight="1">
      <c r="A566" s="30" t="s">
        <v>2272</v>
      </c>
      <c r="B566" s="30" t="s">
        <v>2273</v>
      </c>
      <c r="C566" s="30" t="s">
        <v>235</v>
      </c>
      <c r="D566" s="30" t="s">
        <v>2012</v>
      </c>
      <c r="E566" s="30" t="s">
        <v>2046</v>
      </c>
      <c r="F566" s="30" t="s">
        <v>2047</v>
      </c>
      <c r="G566" s="30"/>
      <c r="H566" s="30" t="s">
        <v>2697</v>
      </c>
      <c r="I566" s="30" t="s">
        <v>2015</v>
      </c>
      <c r="J566" s="30" t="s">
        <v>2015</v>
      </c>
      <c r="K566" s="30" t="s">
        <v>2018</v>
      </c>
      <c r="L566" s="30" t="s">
        <v>2017</v>
      </c>
      <c r="M566" s="30" t="s">
        <v>2018</v>
      </c>
      <c r="N566" s="30" t="s">
        <v>2018</v>
      </c>
      <c r="O566" s="30" t="s">
        <v>2015</v>
      </c>
      <c r="P566" s="32">
        <v>1220</v>
      </c>
      <c r="Q566" s="32">
        <v>789</v>
      </c>
      <c r="R566" s="32">
        <v>148</v>
      </c>
      <c r="S566" s="32">
        <v>88</v>
      </c>
      <c r="T566" s="32">
        <v>51</v>
      </c>
      <c r="U566" s="32">
        <v>77</v>
      </c>
      <c r="V566" s="32">
        <v>44</v>
      </c>
      <c r="W566" s="32">
        <v>23</v>
      </c>
      <c r="X566" s="32">
        <v>225</v>
      </c>
      <c r="Y566" s="32">
        <v>132</v>
      </c>
      <c r="Z566" s="32">
        <v>74</v>
      </c>
      <c r="AA566" s="32">
        <v>429</v>
      </c>
      <c r="AB566" s="32">
        <v>255</v>
      </c>
      <c r="AC566" s="32">
        <v>148</v>
      </c>
      <c r="AD566" s="32">
        <v>92</v>
      </c>
      <c r="AE566" s="32">
        <v>53</v>
      </c>
      <c r="AF566" s="32">
        <v>28</v>
      </c>
      <c r="AG566" s="32">
        <v>521</v>
      </c>
      <c r="AH566" s="32">
        <v>308</v>
      </c>
      <c r="AI566" s="32">
        <v>176</v>
      </c>
      <c r="AJ566" s="32">
        <v>521</v>
      </c>
      <c r="AK566" s="32">
        <v>1215</v>
      </c>
      <c r="AL566" s="32">
        <v>42.9</v>
      </c>
    </row>
    <row r="567" spans="1:38" ht="13.5" hidden="1" customHeight="1">
      <c r="A567" s="30" t="s">
        <v>2272</v>
      </c>
      <c r="B567" s="30" t="s">
        <v>2273</v>
      </c>
      <c r="C567" s="30" t="s">
        <v>235</v>
      </c>
      <c r="D567" s="30" t="s">
        <v>2012</v>
      </c>
      <c r="E567" s="30" t="s">
        <v>2046</v>
      </c>
      <c r="F567" s="30" t="s">
        <v>2047</v>
      </c>
      <c r="G567" s="30"/>
      <c r="H567" s="30" t="s">
        <v>2698</v>
      </c>
      <c r="I567" s="30" t="s">
        <v>2015</v>
      </c>
      <c r="J567" s="30" t="s">
        <v>2015</v>
      </c>
      <c r="K567" s="30" t="s">
        <v>2018</v>
      </c>
      <c r="L567" s="30" t="s">
        <v>2017</v>
      </c>
      <c r="M567" s="30" t="s">
        <v>2018</v>
      </c>
      <c r="N567" s="30" t="s">
        <v>2018</v>
      </c>
      <c r="O567" s="30" t="s">
        <v>2015</v>
      </c>
      <c r="P567" s="32">
        <v>642</v>
      </c>
      <c r="Q567" s="32">
        <v>286</v>
      </c>
      <c r="R567" s="32">
        <v>61</v>
      </c>
      <c r="S567" s="32">
        <v>29</v>
      </c>
      <c r="T567" s="32">
        <v>10</v>
      </c>
      <c r="U567" s="32">
        <v>42</v>
      </c>
      <c r="V567" s="32">
        <v>26</v>
      </c>
      <c r="W567" s="32">
        <v>12</v>
      </c>
      <c r="X567" s="32">
        <v>103</v>
      </c>
      <c r="Y567" s="32">
        <v>55</v>
      </c>
      <c r="Z567" s="32">
        <v>22</v>
      </c>
      <c r="AA567" s="32">
        <v>183</v>
      </c>
      <c r="AB567" s="32">
        <v>87</v>
      </c>
      <c r="AC567" s="32">
        <v>30</v>
      </c>
      <c r="AD567" s="32">
        <v>46</v>
      </c>
      <c r="AE567" s="32">
        <v>29</v>
      </c>
      <c r="AF567" s="32">
        <v>13</v>
      </c>
      <c r="AG567" s="32">
        <v>229</v>
      </c>
      <c r="AH567" s="32">
        <v>116</v>
      </c>
      <c r="AI567" s="32">
        <v>43</v>
      </c>
      <c r="AJ567" s="32">
        <v>229</v>
      </c>
      <c r="AK567" s="32">
        <v>637</v>
      </c>
      <c r="AL567" s="32">
        <v>35.9</v>
      </c>
    </row>
    <row r="568" spans="1:38" ht="13.5" hidden="1" customHeight="1">
      <c r="A568" s="30" t="s">
        <v>2272</v>
      </c>
      <c r="B568" s="30" t="s">
        <v>2273</v>
      </c>
      <c r="C568" s="30" t="s">
        <v>235</v>
      </c>
      <c r="D568" s="30" t="s">
        <v>2012</v>
      </c>
      <c r="E568" s="30" t="s">
        <v>2046</v>
      </c>
      <c r="F568" s="30" t="s">
        <v>2047</v>
      </c>
      <c r="G568" s="30"/>
      <c r="H568" s="30" t="s">
        <v>2699</v>
      </c>
      <c r="I568" s="30" t="s">
        <v>2015</v>
      </c>
      <c r="J568" s="30" t="s">
        <v>2015</v>
      </c>
      <c r="K568" s="30" t="s">
        <v>2018</v>
      </c>
      <c r="L568" s="30" t="s">
        <v>2017</v>
      </c>
      <c r="M568" s="30" t="s">
        <v>2018</v>
      </c>
      <c r="N568" s="30" t="s">
        <v>2018</v>
      </c>
      <c r="O568" s="30" t="s">
        <v>2015</v>
      </c>
      <c r="P568" s="32">
        <v>1174</v>
      </c>
      <c r="Q568" s="32">
        <v>617</v>
      </c>
      <c r="R568" s="32">
        <v>109</v>
      </c>
      <c r="S568" s="32">
        <v>45</v>
      </c>
      <c r="T568" s="32">
        <v>22</v>
      </c>
      <c r="U568" s="32">
        <v>84</v>
      </c>
      <c r="V568" s="32">
        <v>53</v>
      </c>
      <c r="W568" s="32">
        <v>28</v>
      </c>
      <c r="X568" s="32">
        <v>193</v>
      </c>
      <c r="Y568" s="32">
        <v>98</v>
      </c>
      <c r="Z568" s="32">
        <v>50</v>
      </c>
      <c r="AA568" s="32">
        <v>316</v>
      </c>
      <c r="AB568" s="32">
        <v>131</v>
      </c>
      <c r="AC568" s="32">
        <v>64</v>
      </c>
      <c r="AD568" s="32">
        <v>118</v>
      </c>
      <c r="AE568" s="32">
        <v>74</v>
      </c>
      <c r="AF568" s="32">
        <v>39</v>
      </c>
      <c r="AG568" s="32">
        <v>434</v>
      </c>
      <c r="AH568" s="32">
        <v>205</v>
      </c>
      <c r="AI568" s="32">
        <v>103</v>
      </c>
      <c r="AJ568" s="32">
        <v>434</v>
      </c>
      <c r="AK568" s="32">
        <v>1174</v>
      </c>
      <c r="AL568" s="32">
        <v>37</v>
      </c>
    </row>
    <row r="569" spans="1:38" ht="13.5" hidden="1" customHeight="1">
      <c r="A569" s="30" t="s">
        <v>2272</v>
      </c>
      <c r="B569" s="30" t="s">
        <v>2273</v>
      </c>
      <c r="C569" s="30" t="s">
        <v>235</v>
      </c>
      <c r="D569" s="30" t="s">
        <v>2012</v>
      </c>
      <c r="E569" s="30" t="s">
        <v>2046</v>
      </c>
      <c r="F569" s="30" t="s">
        <v>2047</v>
      </c>
      <c r="G569" s="30"/>
      <c r="H569" s="30" t="s">
        <v>2700</v>
      </c>
      <c r="I569" s="30" t="s">
        <v>2015</v>
      </c>
      <c r="J569" s="30" t="s">
        <v>2015</v>
      </c>
      <c r="K569" s="30" t="s">
        <v>2018</v>
      </c>
      <c r="L569" s="30" t="s">
        <v>2017</v>
      </c>
      <c r="M569" s="30" t="s">
        <v>2018</v>
      </c>
      <c r="N569" s="30" t="s">
        <v>2018</v>
      </c>
      <c r="O569" s="30" t="s">
        <v>2015</v>
      </c>
      <c r="P569" s="32">
        <v>2641</v>
      </c>
      <c r="Q569" s="32">
        <v>1370</v>
      </c>
      <c r="R569" s="32">
        <v>303</v>
      </c>
      <c r="S569" s="32">
        <v>150</v>
      </c>
      <c r="T569" s="32">
        <v>75</v>
      </c>
      <c r="U569" s="32">
        <v>252</v>
      </c>
      <c r="V569" s="32">
        <v>170</v>
      </c>
      <c r="W569" s="32">
        <v>103</v>
      </c>
      <c r="X569" s="32">
        <v>555</v>
      </c>
      <c r="Y569" s="32">
        <v>320</v>
      </c>
      <c r="Z569" s="32">
        <v>178</v>
      </c>
      <c r="AA569" s="32">
        <v>888</v>
      </c>
      <c r="AB569" s="32">
        <v>443</v>
      </c>
      <c r="AC569" s="32">
        <v>220</v>
      </c>
      <c r="AD569" s="32">
        <v>289</v>
      </c>
      <c r="AE569" s="32">
        <v>194</v>
      </c>
      <c r="AF569" s="32">
        <v>118</v>
      </c>
      <c r="AG569" s="32">
        <v>1177</v>
      </c>
      <c r="AH569" s="32">
        <v>637</v>
      </c>
      <c r="AI569" s="32">
        <v>338</v>
      </c>
      <c r="AJ569" s="32">
        <v>1177</v>
      </c>
      <c r="AK569" s="32">
        <v>2641</v>
      </c>
      <c r="AL569" s="32">
        <v>44.6</v>
      </c>
    </row>
    <row r="570" spans="1:38" ht="13.5" hidden="1" customHeight="1">
      <c r="A570" s="30" t="s">
        <v>2272</v>
      </c>
      <c r="B570" s="30" t="s">
        <v>2273</v>
      </c>
      <c r="C570" s="30" t="s">
        <v>235</v>
      </c>
      <c r="D570" s="30" t="s">
        <v>2012</v>
      </c>
      <c r="E570" s="30" t="s">
        <v>2046</v>
      </c>
      <c r="F570" s="30" t="s">
        <v>2047</v>
      </c>
      <c r="G570" s="30"/>
      <c r="H570" s="30" t="s">
        <v>2701</v>
      </c>
      <c r="I570" s="30" t="s">
        <v>2015</v>
      </c>
      <c r="J570" s="30" t="s">
        <v>2015</v>
      </c>
      <c r="K570" s="30" t="s">
        <v>2018</v>
      </c>
      <c r="L570" s="30" t="s">
        <v>2017</v>
      </c>
      <c r="M570" s="30" t="s">
        <v>2018</v>
      </c>
      <c r="N570" s="30" t="s">
        <v>2018</v>
      </c>
      <c r="O570" s="30" t="s">
        <v>2015</v>
      </c>
      <c r="P570" s="32">
        <v>1481</v>
      </c>
      <c r="Q570" s="32">
        <v>750</v>
      </c>
      <c r="R570" s="32">
        <v>133</v>
      </c>
      <c r="S570" s="32">
        <v>64</v>
      </c>
      <c r="T570" s="32">
        <v>33</v>
      </c>
      <c r="U570" s="32">
        <v>98</v>
      </c>
      <c r="V570" s="32">
        <v>60</v>
      </c>
      <c r="W570" s="32">
        <v>28</v>
      </c>
      <c r="X570" s="32">
        <v>231</v>
      </c>
      <c r="Y570" s="32">
        <v>124</v>
      </c>
      <c r="Z570" s="32">
        <v>61</v>
      </c>
      <c r="AA570" s="32">
        <v>379</v>
      </c>
      <c r="AB570" s="32">
        <v>183</v>
      </c>
      <c r="AC570" s="32">
        <v>95</v>
      </c>
      <c r="AD570" s="32">
        <v>117</v>
      </c>
      <c r="AE570" s="32">
        <v>72</v>
      </c>
      <c r="AF570" s="32">
        <v>34</v>
      </c>
      <c r="AG570" s="32">
        <v>496</v>
      </c>
      <c r="AH570" s="32">
        <v>255</v>
      </c>
      <c r="AI570" s="32">
        <v>129</v>
      </c>
      <c r="AJ570" s="32">
        <v>496</v>
      </c>
      <c r="AK570" s="32">
        <v>1486</v>
      </c>
      <c r="AL570" s="32">
        <v>33.4</v>
      </c>
    </row>
    <row r="571" spans="1:38" ht="13.5" hidden="1" customHeight="1">
      <c r="A571" s="30" t="s">
        <v>2272</v>
      </c>
      <c r="B571" s="30" t="s">
        <v>2273</v>
      </c>
      <c r="C571" s="30" t="s">
        <v>235</v>
      </c>
      <c r="D571" s="30" t="s">
        <v>2012</v>
      </c>
      <c r="E571" s="30" t="s">
        <v>2046</v>
      </c>
      <c r="F571" s="30" t="s">
        <v>2047</v>
      </c>
      <c r="G571" s="30"/>
      <c r="H571" s="30" t="s">
        <v>2702</v>
      </c>
      <c r="I571" s="30" t="s">
        <v>2015</v>
      </c>
      <c r="J571" s="30" t="s">
        <v>2015</v>
      </c>
      <c r="K571" s="30" t="s">
        <v>2018</v>
      </c>
      <c r="L571" s="30" t="s">
        <v>2017</v>
      </c>
      <c r="M571" s="30" t="s">
        <v>2018</v>
      </c>
      <c r="N571" s="30" t="s">
        <v>2018</v>
      </c>
      <c r="O571" s="30" t="s">
        <v>2015</v>
      </c>
      <c r="P571" s="32">
        <v>1357</v>
      </c>
      <c r="Q571" s="32">
        <v>730</v>
      </c>
      <c r="R571" s="32">
        <v>174</v>
      </c>
      <c r="S571" s="32">
        <v>93</v>
      </c>
      <c r="T571" s="32">
        <v>31</v>
      </c>
      <c r="U571" s="32">
        <v>100</v>
      </c>
      <c r="V571" s="32">
        <v>68</v>
      </c>
      <c r="W571" s="32">
        <v>38</v>
      </c>
      <c r="X571" s="32">
        <v>274</v>
      </c>
      <c r="Y571" s="32">
        <v>161</v>
      </c>
      <c r="Z571" s="32">
        <v>69</v>
      </c>
      <c r="AA571" s="32">
        <v>539</v>
      </c>
      <c r="AB571" s="32">
        <v>288</v>
      </c>
      <c r="AC571" s="32">
        <v>96</v>
      </c>
      <c r="AD571" s="32">
        <v>120</v>
      </c>
      <c r="AE571" s="32">
        <v>82</v>
      </c>
      <c r="AF571" s="32">
        <v>46</v>
      </c>
      <c r="AG571" s="32">
        <v>659</v>
      </c>
      <c r="AH571" s="32">
        <v>370</v>
      </c>
      <c r="AI571" s="32">
        <v>142</v>
      </c>
      <c r="AJ571" s="32">
        <v>659</v>
      </c>
      <c r="AK571" s="32">
        <v>1344</v>
      </c>
      <c r="AL571" s="32">
        <v>49</v>
      </c>
    </row>
    <row r="572" spans="1:38" ht="13.5" hidden="1" customHeight="1">
      <c r="A572" s="30" t="s">
        <v>2272</v>
      </c>
      <c r="B572" s="30" t="s">
        <v>2273</v>
      </c>
      <c r="C572" s="30" t="s">
        <v>235</v>
      </c>
      <c r="D572" s="30" t="s">
        <v>2012</v>
      </c>
      <c r="E572" s="30" t="s">
        <v>2046</v>
      </c>
      <c r="F572" s="30" t="s">
        <v>2047</v>
      </c>
      <c r="G572" s="30"/>
      <c r="H572" s="30" t="s">
        <v>2703</v>
      </c>
      <c r="I572" s="30" t="s">
        <v>2015</v>
      </c>
      <c r="J572" s="30" t="s">
        <v>2015</v>
      </c>
      <c r="K572" s="30" t="s">
        <v>2018</v>
      </c>
      <c r="L572" s="30" t="s">
        <v>2017</v>
      </c>
      <c r="M572" s="30" t="s">
        <v>2018</v>
      </c>
      <c r="N572" s="30" t="s">
        <v>2018</v>
      </c>
      <c r="O572" s="30" t="s">
        <v>2015</v>
      </c>
      <c r="P572" s="32">
        <v>712</v>
      </c>
      <c r="Q572" s="32">
        <v>337</v>
      </c>
      <c r="R572" s="32">
        <v>111</v>
      </c>
      <c r="S572" s="32">
        <v>60</v>
      </c>
      <c r="T572" s="32">
        <v>26</v>
      </c>
      <c r="U572" s="32">
        <v>46</v>
      </c>
      <c r="V572" s="32">
        <v>26</v>
      </c>
      <c r="W572" s="32">
        <v>12</v>
      </c>
      <c r="X572" s="32">
        <v>157</v>
      </c>
      <c r="Y572" s="32">
        <v>86</v>
      </c>
      <c r="Z572" s="32">
        <v>38</v>
      </c>
      <c r="AA572" s="32">
        <v>344</v>
      </c>
      <c r="AB572" s="32">
        <v>186</v>
      </c>
      <c r="AC572" s="32">
        <v>81</v>
      </c>
      <c r="AD572" s="32">
        <v>64</v>
      </c>
      <c r="AE572" s="32">
        <v>36</v>
      </c>
      <c r="AF572" s="32">
        <v>17</v>
      </c>
      <c r="AG572" s="32">
        <v>408</v>
      </c>
      <c r="AH572" s="32">
        <v>222</v>
      </c>
      <c r="AI572" s="32">
        <v>98</v>
      </c>
      <c r="AJ572" s="32">
        <v>408</v>
      </c>
      <c r="AK572" s="32">
        <v>718</v>
      </c>
      <c r="AL572" s="32">
        <v>56.8</v>
      </c>
    </row>
    <row r="573" spans="1:38" ht="13.5" hidden="1" customHeight="1">
      <c r="A573" s="30" t="s">
        <v>2272</v>
      </c>
      <c r="B573" s="30" t="s">
        <v>2273</v>
      </c>
      <c r="C573" s="30" t="s">
        <v>235</v>
      </c>
      <c r="D573" s="30" t="s">
        <v>2012</v>
      </c>
      <c r="E573" s="30" t="s">
        <v>2046</v>
      </c>
      <c r="F573" s="30" t="s">
        <v>2047</v>
      </c>
      <c r="G573" s="30"/>
      <c r="H573" s="30" t="s">
        <v>2704</v>
      </c>
      <c r="I573" s="30" t="s">
        <v>2015</v>
      </c>
      <c r="J573" s="30" t="s">
        <v>2015</v>
      </c>
      <c r="K573" s="30" t="s">
        <v>2018</v>
      </c>
      <c r="L573" s="30" t="s">
        <v>2017</v>
      </c>
      <c r="M573" s="30" t="s">
        <v>2018</v>
      </c>
      <c r="N573" s="30" t="s">
        <v>2018</v>
      </c>
      <c r="O573" s="30" t="s">
        <v>2015</v>
      </c>
      <c r="P573" s="32">
        <v>963</v>
      </c>
      <c r="Q573" s="32">
        <v>420</v>
      </c>
      <c r="R573" s="32">
        <v>134</v>
      </c>
      <c r="S573" s="32">
        <v>64</v>
      </c>
      <c r="T573" s="32">
        <v>26</v>
      </c>
      <c r="U573" s="32">
        <v>74</v>
      </c>
      <c r="V573" s="32">
        <v>47</v>
      </c>
      <c r="W573" s="32">
        <v>22</v>
      </c>
      <c r="X573" s="32">
        <v>208</v>
      </c>
      <c r="Y573" s="32">
        <v>111</v>
      </c>
      <c r="Z573" s="32">
        <v>48</v>
      </c>
      <c r="AA573" s="32">
        <v>415</v>
      </c>
      <c r="AB573" s="32">
        <v>198</v>
      </c>
      <c r="AC573" s="32">
        <v>81</v>
      </c>
      <c r="AD573" s="32">
        <v>89</v>
      </c>
      <c r="AE573" s="32">
        <v>56</v>
      </c>
      <c r="AF573" s="32">
        <v>26</v>
      </c>
      <c r="AG573" s="32">
        <v>504</v>
      </c>
      <c r="AH573" s="32">
        <v>254</v>
      </c>
      <c r="AI573" s="32">
        <v>107</v>
      </c>
      <c r="AJ573" s="32">
        <v>504</v>
      </c>
      <c r="AK573" s="32">
        <v>963</v>
      </c>
      <c r="AL573" s="32">
        <v>52.3</v>
      </c>
    </row>
    <row r="574" spans="1:38" ht="13.5" hidden="1" customHeight="1">
      <c r="A574" s="30" t="s">
        <v>2272</v>
      </c>
      <c r="B574" s="30" t="s">
        <v>2273</v>
      </c>
      <c r="C574" s="30" t="s">
        <v>235</v>
      </c>
      <c r="D574" s="30" t="s">
        <v>2012</v>
      </c>
      <c r="E574" s="30" t="s">
        <v>2046</v>
      </c>
      <c r="F574" s="30" t="s">
        <v>2047</v>
      </c>
      <c r="G574" s="30"/>
      <c r="H574" s="30" t="s">
        <v>2705</v>
      </c>
      <c r="I574" s="30" t="s">
        <v>2015</v>
      </c>
      <c r="J574" s="30" t="s">
        <v>2015</v>
      </c>
      <c r="K574" s="30" t="s">
        <v>2018</v>
      </c>
      <c r="L574" s="30" t="s">
        <v>2017</v>
      </c>
      <c r="M574" s="30" t="s">
        <v>2018</v>
      </c>
      <c r="N574" s="30" t="s">
        <v>2018</v>
      </c>
      <c r="O574" s="30" t="s">
        <v>2015</v>
      </c>
      <c r="P574" s="32">
        <v>1889</v>
      </c>
      <c r="Q574" s="32">
        <v>926</v>
      </c>
      <c r="R574" s="32">
        <v>177</v>
      </c>
      <c r="S574" s="32">
        <v>120</v>
      </c>
      <c r="T574" s="32">
        <v>71</v>
      </c>
      <c r="U574" s="32">
        <v>218</v>
      </c>
      <c r="V574" s="32">
        <v>159</v>
      </c>
      <c r="W574" s="32">
        <v>110</v>
      </c>
      <c r="X574" s="32">
        <v>395</v>
      </c>
      <c r="Y574" s="32">
        <v>279</v>
      </c>
      <c r="Z574" s="32">
        <v>181</v>
      </c>
      <c r="AA574" s="32">
        <v>516</v>
      </c>
      <c r="AB574" s="32">
        <v>350</v>
      </c>
      <c r="AC574" s="32">
        <v>207</v>
      </c>
      <c r="AD574" s="32">
        <v>255</v>
      </c>
      <c r="AE574" s="32">
        <v>185</v>
      </c>
      <c r="AF574" s="32">
        <v>127</v>
      </c>
      <c r="AG574" s="32">
        <v>771</v>
      </c>
      <c r="AH574" s="32">
        <v>535</v>
      </c>
      <c r="AI574" s="32">
        <v>334</v>
      </c>
      <c r="AJ574" s="32">
        <v>771</v>
      </c>
      <c r="AK574" s="32">
        <v>1622</v>
      </c>
      <c r="AL574" s="32">
        <v>47.5</v>
      </c>
    </row>
    <row r="575" spans="1:38" ht="13.5" hidden="1" customHeight="1">
      <c r="A575" s="30" t="s">
        <v>2272</v>
      </c>
      <c r="B575" s="30" t="s">
        <v>2273</v>
      </c>
      <c r="C575" s="30" t="s">
        <v>235</v>
      </c>
      <c r="D575" s="30" t="s">
        <v>2012</v>
      </c>
      <c r="E575" s="30" t="s">
        <v>2046</v>
      </c>
      <c r="F575" s="30" t="s">
        <v>2047</v>
      </c>
      <c r="G575" s="30"/>
      <c r="H575" s="30" t="s">
        <v>2706</v>
      </c>
      <c r="I575" s="30" t="s">
        <v>2015</v>
      </c>
      <c r="J575" s="30" t="s">
        <v>2015</v>
      </c>
      <c r="K575" s="30" t="s">
        <v>2018</v>
      </c>
      <c r="L575" s="30" t="s">
        <v>2017</v>
      </c>
      <c r="M575" s="30" t="s">
        <v>2018</v>
      </c>
      <c r="N575" s="30" t="s">
        <v>2018</v>
      </c>
      <c r="O575" s="30" t="s">
        <v>2015</v>
      </c>
      <c r="P575" s="32">
        <v>733</v>
      </c>
      <c r="Q575" s="32">
        <v>313</v>
      </c>
      <c r="R575" s="32">
        <v>83</v>
      </c>
      <c r="S575" s="32">
        <v>54</v>
      </c>
      <c r="T575" s="32">
        <v>26</v>
      </c>
      <c r="U575" s="32">
        <v>68</v>
      </c>
      <c r="V575" s="32">
        <v>44</v>
      </c>
      <c r="W575" s="32">
        <v>28</v>
      </c>
      <c r="X575" s="32">
        <v>151</v>
      </c>
      <c r="Y575" s="32">
        <v>98</v>
      </c>
      <c r="Z575" s="32">
        <v>54</v>
      </c>
      <c r="AA575" s="32">
        <v>257</v>
      </c>
      <c r="AB575" s="32">
        <v>167</v>
      </c>
      <c r="AC575" s="32">
        <v>81</v>
      </c>
      <c r="AD575" s="32">
        <v>82</v>
      </c>
      <c r="AE575" s="32">
        <v>53</v>
      </c>
      <c r="AF575" s="32">
        <v>34</v>
      </c>
      <c r="AG575" s="32">
        <v>339</v>
      </c>
      <c r="AH575" s="32">
        <v>220</v>
      </c>
      <c r="AI575" s="32">
        <v>115</v>
      </c>
      <c r="AJ575" s="32">
        <v>339</v>
      </c>
      <c r="AK575" s="32">
        <v>746</v>
      </c>
      <c r="AL575" s="32">
        <v>45.4</v>
      </c>
    </row>
    <row r="576" spans="1:38" ht="13.5" hidden="1" customHeight="1">
      <c r="A576" s="30" t="s">
        <v>2272</v>
      </c>
      <c r="B576" s="30" t="s">
        <v>2273</v>
      </c>
      <c r="C576" s="30" t="s">
        <v>235</v>
      </c>
      <c r="D576" s="30" t="s">
        <v>2012</v>
      </c>
      <c r="E576" s="30" t="s">
        <v>2046</v>
      </c>
      <c r="F576" s="30" t="s">
        <v>2047</v>
      </c>
      <c r="G576" s="30"/>
      <c r="H576" s="30" t="s">
        <v>2707</v>
      </c>
      <c r="I576" s="30" t="s">
        <v>2015</v>
      </c>
      <c r="J576" s="30" t="s">
        <v>2015</v>
      </c>
      <c r="K576" s="30" t="s">
        <v>2038</v>
      </c>
      <c r="L576" s="30" t="s">
        <v>2017</v>
      </c>
      <c r="M576" s="30" t="s">
        <v>2018</v>
      </c>
      <c r="N576" s="30" t="s">
        <v>2038</v>
      </c>
      <c r="O576" s="30" t="s">
        <v>2039</v>
      </c>
      <c r="P576" s="32">
        <v>3602</v>
      </c>
      <c r="Q576" s="32">
        <v>1461</v>
      </c>
      <c r="R576" s="32">
        <v>335</v>
      </c>
      <c r="S576" s="32">
        <v>207</v>
      </c>
      <c r="T576" s="32">
        <v>110</v>
      </c>
      <c r="U576" s="32">
        <v>222</v>
      </c>
      <c r="V576" s="32">
        <v>139</v>
      </c>
      <c r="W576" s="32">
        <v>67</v>
      </c>
      <c r="X576" s="32">
        <v>557</v>
      </c>
      <c r="Y576" s="32">
        <v>346</v>
      </c>
      <c r="Z576" s="32">
        <v>177</v>
      </c>
      <c r="AA576" s="32">
        <v>1022</v>
      </c>
      <c r="AB576" s="32">
        <v>629</v>
      </c>
      <c r="AC576" s="32">
        <v>332</v>
      </c>
      <c r="AD576" s="32">
        <v>277</v>
      </c>
      <c r="AE576" s="32">
        <v>172</v>
      </c>
      <c r="AF576" s="32">
        <v>79</v>
      </c>
      <c r="AG576" s="32">
        <v>1299</v>
      </c>
      <c r="AH576" s="32">
        <v>801</v>
      </c>
      <c r="AI576" s="32">
        <v>411</v>
      </c>
      <c r="AJ576" s="32">
        <v>1299</v>
      </c>
      <c r="AK576" s="32">
        <v>3582</v>
      </c>
      <c r="AL576" s="32">
        <v>36.299999999999997</v>
      </c>
    </row>
    <row r="577" spans="1:38" ht="13.5" customHeight="1">
      <c r="A577" s="30" t="s">
        <v>2272</v>
      </c>
      <c r="B577" s="30" t="s">
        <v>2273</v>
      </c>
      <c r="C577" s="30" t="s">
        <v>235</v>
      </c>
      <c r="D577" s="30" t="s">
        <v>2012</v>
      </c>
      <c r="E577" s="30" t="s">
        <v>2048</v>
      </c>
      <c r="F577" s="30" t="s">
        <v>2049</v>
      </c>
      <c r="G577" s="30"/>
      <c r="H577" s="30" t="s">
        <v>2708</v>
      </c>
      <c r="I577" s="30" t="s">
        <v>2015</v>
      </c>
      <c r="J577" s="30" t="s">
        <v>2015</v>
      </c>
      <c r="K577" s="30" t="s">
        <v>2018</v>
      </c>
      <c r="L577" s="30" t="s">
        <v>2017</v>
      </c>
      <c r="M577" s="30" t="s">
        <v>2018</v>
      </c>
      <c r="N577" s="30" t="s">
        <v>2018</v>
      </c>
      <c r="O577" s="30" t="s">
        <v>2015</v>
      </c>
      <c r="P577" s="32">
        <v>1209</v>
      </c>
      <c r="Q577" s="32">
        <v>723</v>
      </c>
      <c r="R577" s="32">
        <v>175</v>
      </c>
      <c r="S577" s="32">
        <v>98</v>
      </c>
      <c r="T577" s="32">
        <v>41</v>
      </c>
      <c r="U577" s="32">
        <v>102</v>
      </c>
      <c r="V577" s="32">
        <v>70</v>
      </c>
      <c r="W577" s="32">
        <v>43</v>
      </c>
      <c r="X577" s="32">
        <v>277</v>
      </c>
      <c r="Y577" s="32">
        <v>168</v>
      </c>
      <c r="Z577" s="32">
        <v>84</v>
      </c>
      <c r="AA577" s="32">
        <v>508</v>
      </c>
      <c r="AB577" s="32">
        <v>284</v>
      </c>
      <c r="AC577" s="32">
        <v>119</v>
      </c>
      <c r="AD577" s="32">
        <v>133</v>
      </c>
      <c r="AE577" s="32">
        <v>91</v>
      </c>
      <c r="AF577" s="32">
        <v>56</v>
      </c>
      <c r="AG577" s="32">
        <v>641</v>
      </c>
      <c r="AH577" s="32">
        <v>375</v>
      </c>
      <c r="AI577" s="32">
        <v>175</v>
      </c>
      <c r="AJ577" s="32">
        <v>641</v>
      </c>
      <c r="AK577" s="32">
        <v>1195</v>
      </c>
      <c r="AL577" s="32">
        <v>53.6</v>
      </c>
    </row>
    <row r="578" spans="1:38" ht="13.5" customHeight="1">
      <c r="A578" s="30" t="s">
        <v>2272</v>
      </c>
      <c r="B578" s="30" t="s">
        <v>2273</v>
      </c>
      <c r="C578" s="30" t="s">
        <v>235</v>
      </c>
      <c r="D578" s="30" t="s">
        <v>2012</v>
      </c>
      <c r="E578" s="30" t="s">
        <v>2048</v>
      </c>
      <c r="F578" s="30" t="s">
        <v>2049</v>
      </c>
      <c r="G578" s="30"/>
      <c r="H578" s="30" t="s">
        <v>2709</v>
      </c>
      <c r="I578" s="30" t="s">
        <v>2015</v>
      </c>
      <c r="J578" s="30" t="s">
        <v>2015</v>
      </c>
      <c r="K578" s="30" t="s">
        <v>2018</v>
      </c>
      <c r="L578" s="30" t="s">
        <v>2017</v>
      </c>
      <c r="M578" s="30" t="s">
        <v>2018</v>
      </c>
      <c r="N578" s="30" t="s">
        <v>2018</v>
      </c>
      <c r="O578" s="30" t="s">
        <v>2015</v>
      </c>
      <c r="P578" s="32">
        <v>514</v>
      </c>
      <c r="Q578" s="32">
        <v>359</v>
      </c>
      <c r="R578" s="32">
        <v>69</v>
      </c>
      <c r="S578" s="32">
        <v>44</v>
      </c>
      <c r="T578" s="32">
        <v>20</v>
      </c>
      <c r="U578" s="32">
        <v>36</v>
      </c>
      <c r="V578" s="32">
        <v>31</v>
      </c>
      <c r="W578" s="32">
        <v>20</v>
      </c>
      <c r="X578" s="32">
        <v>105</v>
      </c>
      <c r="Y578" s="32">
        <v>75</v>
      </c>
      <c r="Z578" s="32">
        <v>40</v>
      </c>
      <c r="AA578" s="32">
        <v>200</v>
      </c>
      <c r="AB578" s="32">
        <v>128</v>
      </c>
      <c r="AC578" s="32">
        <v>58</v>
      </c>
      <c r="AD578" s="32">
        <v>40</v>
      </c>
      <c r="AE578" s="32">
        <v>34</v>
      </c>
      <c r="AF578" s="32">
        <v>22</v>
      </c>
      <c r="AG578" s="32">
        <v>240</v>
      </c>
      <c r="AH578" s="32">
        <v>162</v>
      </c>
      <c r="AI578" s="32">
        <v>80</v>
      </c>
      <c r="AJ578" s="32">
        <v>240</v>
      </c>
      <c r="AK578" s="32">
        <v>487</v>
      </c>
      <c r="AL578" s="32">
        <v>49.3</v>
      </c>
    </row>
    <row r="579" spans="1:38" ht="13.5" customHeight="1">
      <c r="A579" s="30" t="s">
        <v>2272</v>
      </c>
      <c r="B579" s="30" t="s">
        <v>2273</v>
      </c>
      <c r="C579" s="30" t="s">
        <v>235</v>
      </c>
      <c r="D579" s="30" t="s">
        <v>2012</v>
      </c>
      <c r="E579" s="30" t="s">
        <v>2048</v>
      </c>
      <c r="F579" s="30" t="s">
        <v>2049</v>
      </c>
      <c r="G579" s="30"/>
      <c r="H579" s="30" t="s">
        <v>2710</v>
      </c>
      <c r="I579" s="30" t="s">
        <v>2015</v>
      </c>
      <c r="J579" s="30" t="s">
        <v>2015</v>
      </c>
      <c r="K579" s="30" t="s">
        <v>2018</v>
      </c>
      <c r="L579" s="30" t="s">
        <v>2017</v>
      </c>
      <c r="M579" s="30" t="s">
        <v>2018</v>
      </c>
      <c r="N579" s="30" t="s">
        <v>2018</v>
      </c>
      <c r="O579" s="30" t="s">
        <v>2015</v>
      </c>
      <c r="P579" s="32">
        <v>1686</v>
      </c>
      <c r="Q579" s="32">
        <v>927</v>
      </c>
      <c r="R579" s="32">
        <v>195</v>
      </c>
      <c r="S579" s="32">
        <v>84</v>
      </c>
      <c r="T579" s="32">
        <v>40</v>
      </c>
      <c r="U579" s="32">
        <v>156</v>
      </c>
      <c r="V579" s="32">
        <v>106</v>
      </c>
      <c r="W579" s="32">
        <v>40</v>
      </c>
      <c r="X579" s="32">
        <v>351</v>
      </c>
      <c r="Y579" s="32">
        <v>190</v>
      </c>
      <c r="Z579" s="32">
        <v>80</v>
      </c>
      <c r="AA579" s="32">
        <v>566</v>
      </c>
      <c r="AB579" s="32">
        <v>248</v>
      </c>
      <c r="AC579" s="32">
        <v>117</v>
      </c>
      <c r="AD579" s="32">
        <v>186</v>
      </c>
      <c r="AE579" s="32">
        <v>126</v>
      </c>
      <c r="AF579" s="32">
        <v>46</v>
      </c>
      <c r="AG579" s="32">
        <v>752</v>
      </c>
      <c r="AH579" s="32">
        <v>374</v>
      </c>
      <c r="AI579" s="32">
        <v>163</v>
      </c>
      <c r="AJ579" s="32">
        <v>752</v>
      </c>
      <c r="AK579" s="32">
        <v>1686</v>
      </c>
      <c r="AL579" s="32">
        <v>44.6</v>
      </c>
    </row>
    <row r="580" spans="1:38" ht="13.5" customHeight="1">
      <c r="A580" s="30" t="s">
        <v>2272</v>
      </c>
      <c r="B580" s="30" t="s">
        <v>2273</v>
      </c>
      <c r="C580" s="30" t="s">
        <v>235</v>
      </c>
      <c r="D580" s="30" t="s">
        <v>2012</v>
      </c>
      <c r="E580" s="30" t="s">
        <v>2048</v>
      </c>
      <c r="F580" s="30" t="s">
        <v>2049</v>
      </c>
      <c r="G580" s="30"/>
      <c r="H580" s="30" t="s">
        <v>2711</v>
      </c>
      <c r="I580" s="30" t="s">
        <v>2015</v>
      </c>
      <c r="J580" s="30" t="s">
        <v>2015</v>
      </c>
      <c r="K580" s="30" t="s">
        <v>2018</v>
      </c>
      <c r="L580" s="30" t="s">
        <v>2017</v>
      </c>
      <c r="M580" s="30" t="s">
        <v>2018</v>
      </c>
      <c r="N580" s="30" t="s">
        <v>2018</v>
      </c>
      <c r="O580" s="30" t="s">
        <v>2015</v>
      </c>
      <c r="P580" s="32">
        <v>273</v>
      </c>
      <c r="Q580" s="32">
        <v>146</v>
      </c>
      <c r="R580" s="32">
        <v>32</v>
      </c>
      <c r="S580" s="32">
        <v>13</v>
      </c>
      <c r="T580" s="32">
        <v>6</v>
      </c>
      <c r="U580" s="32">
        <v>23</v>
      </c>
      <c r="V580" s="32">
        <v>20</v>
      </c>
      <c r="W580" s="32">
        <v>15</v>
      </c>
      <c r="X580" s="32">
        <v>55</v>
      </c>
      <c r="Y580" s="32">
        <v>33</v>
      </c>
      <c r="Z580" s="32">
        <v>21</v>
      </c>
      <c r="AA580" s="32">
        <v>93</v>
      </c>
      <c r="AB580" s="32">
        <v>38</v>
      </c>
      <c r="AC580" s="32">
        <v>17</v>
      </c>
      <c r="AD580" s="32">
        <v>25</v>
      </c>
      <c r="AE580" s="32">
        <v>22</v>
      </c>
      <c r="AF580" s="32">
        <v>17</v>
      </c>
      <c r="AG580" s="32">
        <v>118</v>
      </c>
      <c r="AH580" s="32">
        <v>60</v>
      </c>
      <c r="AI580" s="32">
        <v>34</v>
      </c>
      <c r="AJ580" s="32">
        <v>118</v>
      </c>
      <c r="AK580" s="32">
        <v>263</v>
      </c>
      <c r="AL580" s="32">
        <v>44.9</v>
      </c>
    </row>
    <row r="581" spans="1:38" ht="13.5" customHeight="1">
      <c r="A581" s="30" t="s">
        <v>2272</v>
      </c>
      <c r="B581" s="30" t="s">
        <v>2273</v>
      </c>
      <c r="C581" s="30" t="s">
        <v>235</v>
      </c>
      <c r="D581" s="30" t="s">
        <v>2012</v>
      </c>
      <c r="E581" s="30" t="s">
        <v>2048</v>
      </c>
      <c r="F581" s="30" t="s">
        <v>2049</v>
      </c>
      <c r="G581" s="30"/>
      <c r="H581" s="30" t="s">
        <v>2712</v>
      </c>
      <c r="I581" s="30" t="s">
        <v>2015</v>
      </c>
      <c r="J581" s="30" t="s">
        <v>2015</v>
      </c>
      <c r="K581" s="30" t="s">
        <v>2018</v>
      </c>
      <c r="L581" s="30" t="s">
        <v>2017</v>
      </c>
      <c r="M581" s="30" t="s">
        <v>2018</v>
      </c>
      <c r="N581" s="30" t="s">
        <v>2018</v>
      </c>
      <c r="O581" s="30" t="s">
        <v>2015</v>
      </c>
      <c r="P581" s="32">
        <v>618</v>
      </c>
      <c r="Q581" s="32">
        <v>370</v>
      </c>
      <c r="R581" s="32">
        <v>88</v>
      </c>
      <c r="S581" s="32">
        <v>57</v>
      </c>
      <c r="T581" s="32">
        <v>22</v>
      </c>
      <c r="U581" s="32">
        <v>29</v>
      </c>
      <c r="V581" s="32">
        <v>21</v>
      </c>
      <c r="W581" s="32">
        <v>16</v>
      </c>
      <c r="X581" s="32">
        <v>117</v>
      </c>
      <c r="Y581" s="32">
        <v>78</v>
      </c>
      <c r="Z581" s="32">
        <v>38</v>
      </c>
      <c r="AA581" s="32">
        <v>246</v>
      </c>
      <c r="AB581" s="32">
        <v>160</v>
      </c>
      <c r="AC581" s="32">
        <v>62</v>
      </c>
      <c r="AD581" s="32">
        <v>41</v>
      </c>
      <c r="AE581" s="32">
        <v>29</v>
      </c>
      <c r="AF581" s="32">
        <v>22</v>
      </c>
      <c r="AG581" s="32">
        <v>287</v>
      </c>
      <c r="AH581" s="32">
        <v>189</v>
      </c>
      <c r="AI581" s="32">
        <v>84</v>
      </c>
      <c r="AJ581" s="32">
        <v>287</v>
      </c>
      <c r="AK581" s="32">
        <v>592</v>
      </c>
      <c r="AL581" s="32">
        <v>48.5</v>
      </c>
    </row>
    <row r="582" spans="1:38" ht="13.5" customHeight="1">
      <c r="A582" s="30" t="s">
        <v>2272</v>
      </c>
      <c r="B582" s="30" t="s">
        <v>2273</v>
      </c>
      <c r="C582" s="30" t="s">
        <v>235</v>
      </c>
      <c r="D582" s="30" t="s">
        <v>2012</v>
      </c>
      <c r="E582" s="30" t="s">
        <v>2048</v>
      </c>
      <c r="F582" s="30" t="s">
        <v>2049</v>
      </c>
      <c r="G582" s="30"/>
      <c r="H582" s="30" t="s">
        <v>2713</v>
      </c>
      <c r="I582" s="30" t="s">
        <v>2015</v>
      </c>
      <c r="J582" s="30" t="s">
        <v>2015</v>
      </c>
      <c r="K582" s="30" t="s">
        <v>2018</v>
      </c>
      <c r="L582" s="30" t="s">
        <v>2017</v>
      </c>
      <c r="M582" s="30" t="s">
        <v>2018</v>
      </c>
      <c r="N582" s="30" t="s">
        <v>2018</v>
      </c>
      <c r="O582" s="30" t="s">
        <v>2015</v>
      </c>
      <c r="P582" s="32">
        <v>29</v>
      </c>
      <c r="Q582" s="32">
        <v>253</v>
      </c>
      <c r="R582" s="32">
        <v>0</v>
      </c>
      <c r="S582" s="32">
        <v>0</v>
      </c>
      <c r="T582" s="32">
        <v>0</v>
      </c>
      <c r="U582" s="32">
        <v>6</v>
      </c>
      <c r="V582" s="32">
        <v>4</v>
      </c>
      <c r="W582" s="32">
        <v>4</v>
      </c>
      <c r="X582" s="32">
        <v>6</v>
      </c>
      <c r="Y582" s="32">
        <v>4</v>
      </c>
      <c r="Z582" s="32">
        <v>4</v>
      </c>
      <c r="AA582" s="32">
        <v>0</v>
      </c>
      <c r="AB582" s="32">
        <v>0</v>
      </c>
      <c r="AC582" s="32">
        <v>0</v>
      </c>
      <c r="AD582" s="32">
        <v>8</v>
      </c>
      <c r="AE582" s="32">
        <v>5</v>
      </c>
      <c r="AF582" s="32">
        <v>5</v>
      </c>
      <c r="AG582" s="32">
        <v>8</v>
      </c>
      <c r="AH582" s="32">
        <v>5</v>
      </c>
      <c r="AI582" s="32">
        <v>5</v>
      </c>
      <c r="AJ582" s="32">
        <v>8</v>
      </c>
      <c r="AK582" s="32">
        <v>15</v>
      </c>
      <c r="AL582" s="32">
        <v>53.3</v>
      </c>
    </row>
    <row r="583" spans="1:38" ht="13.5" customHeight="1">
      <c r="A583" s="30" t="s">
        <v>2272</v>
      </c>
      <c r="B583" s="30" t="s">
        <v>2273</v>
      </c>
      <c r="C583" s="30" t="s">
        <v>235</v>
      </c>
      <c r="D583" s="30" t="s">
        <v>2012</v>
      </c>
      <c r="E583" s="30" t="s">
        <v>2048</v>
      </c>
      <c r="F583" s="30" t="s">
        <v>2049</v>
      </c>
      <c r="G583" s="30"/>
      <c r="H583" s="30" t="s">
        <v>2086</v>
      </c>
      <c r="I583" s="30" t="s">
        <v>2015</v>
      </c>
      <c r="J583" s="30" t="s">
        <v>2015</v>
      </c>
      <c r="K583" s="30" t="s">
        <v>2018</v>
      </c>
      <c r="L583" s="30" t="s">
        <v>2017</v>
      </c>
      <c r="M583" s="30" t="s">
        <v>2018</v>
      </c>
      <c r="N583" s="30" t="s">
        <v>2018</v>
      </c>
      <c r="O583" s="30" t="s">
        <v>2015</v>
      </c>
      <c r="P583" s="32">
        <v>3447</v>
      </c>
      <c r="Q583" s="32">
        <v>1921</v>
      </c>
      <c r="R583" s="32">
        <v>409</v>
      </c>
      <c r="S583" s="32">
        <v>241</v>
      </c>
      <c r="T583" s="32">
        <v>100</v>
      </c>
      <c r="U583" s="32">
        <v>462</v>
      </c>
      <c r="V583" s="32">
        <v>361</v>
      </c>
      <c r="W583" s="32">
        <v>211</v>
      </c>
      <c r="X583" s="32">
        <v>871</v>
      </c>
      <c r="Y583" s="32">
        <v>602</v>
      </c>
      <c r="Z583" s="32">
        <v>311</v>
      </c>
      <c r="AA583" s="32">
        <v>1204</v>
      </c>
      <c r="AB583" s="32">
        <v>712</v>
      </c>
      <c r="AC583" s="32">
        <v>296</v>
      </c>
      <c r="AD583" s="32">
        <v>530</v>
      </c>
      <c r="AE583" s="32">
        <v>410</v>
      </c>
      <c r="AF583" s="32">
        <v>240</v>
      </c>
      <c r="AG583" s="32">
        <v>1734</v>
      </c>
      <c r="AH583" s="32">
        <v>1122</v>
      </c>
      <c r="AI583" s="32">
        <v>536</v>
      </c>
      <c r="AJ583" s="32">
        <v>1734</v>
      </c>
      <c r="AK583" s="32">
        <v>3324</v>
      </c>
      <c r="AL583" s="32">
        <v>52.2</v>
      </c>
    </row>
    <row r="584" spans="1:38" ht="13.5" customHeight="1">
      <c r="A584" s="30" t="s">
        <v>2272</v>
      </c>
      <c r="B584" s="30" t="s">
        <v>2273</v>
      </c>
      <c r="C584" s="30" t="s">
        <v>235</v>
      </c>
      <c r="D584" s="30" t="s">
        <v>2012</v>
      </c>
      <c r="E584" s="30" t="s">
        <v>2048</v>
      </c>
      <c r="F584" s="30" t="s">
        <v>2049</v>
      </c>
      <c r="G584" s="30"/>
      <c r="H584" s="30" t="s">
        <v>2714</v>
      </c>
      <c r="I584" s="30" t="s">
        <v>2015</v>
      </c>
      <c r="J584" s="30" t="s">
        <v>2015</v>
      </c>
      <c r="K584" s="30" t="s">
        <v>2018</v>
      </c>
      <c r="L584" s="30" t="s">
        <v>2017</v>
      </c>
      <c r="M584" s="30" t="s">
        <v>2018</v>
      </c>
      <c r="N584" s="30" t="s">
        <v>2018</v>
      </c>
      <c r="O584" s="30" t="s">
        <v>2015</v>
      </c>
      <c r="P584" s="32">
        <v>26</v>
      </c>
      <c r="Q584" s="32">
        <v>24</v>
      </c>
      <c r="R584" s="32">
        <v>9</v>
      </c>
      <c r="S584" s="32">
        <v>3</v>
      </c>
      <c r="T584" s="32">
        <v>1</v>
      </c>
      <c r="U584" s="32">
        <v>2</v>
      </c>
      <c r="V584" s="32">
        <v>0</v>
      </c>
      <c r="W584" s="32">
        <v>0</v>
      </c>
      <c r="X584" s="32">
        <v>11</v>
      </c>
      <c r="Y584" s="32">
        <v>3</v>
      </c>
      <c r="Z584" s="32">
        <v>1</v>
      </c>
      <c r="AA584" s="32">
        <v>20</v>
      </c>
      <c r="AB584" s="32">
        <v>7</v>
      </c>
      <c r="AC584" s="32">
        <v>2</v>
      </c>
      <c r="AD584" s="32">
        <v>2</v>
      </c>
      <c r="AE584" s="32">
        <v>0</v>
      </c>
      <c r="AF584" s="32">
        <v>0</v>
      </c>
      <c r="AG584" s="32">
        <v>22</v>
      </c>
      <c r="AH584" s="32">
        <v>7</v>
      </c>
      <c r="AI584" s="32">
        <v>2</v>
      </c>
      <c r="AJ584" s="32">
        <v>22</v>
      </c>
      <c r="AK584" s="32">
        <v>31</v>
      </c>
      <c r="AL584" s="32">
        <v>71</v>
      </c>
    </row>
    <row r="585" spans="1:38" ht="13.5" customHeight="1">
      <c r="A585" s="30" t="s">
        <v>2272</v>
      </c>
      <c r="B585" s="30" t="s">
        <v>2273</v>
      </c>
      <c r="C585" s="30" t="s">
        <v>235</v>
      </c>
      <c r="D585" s="30" t="s">
        <v>2012</v>
      </c>
      <c r="E585" s="30" t="s">
        <v>2048</v>
      </c>
      <c r="F585" s="30" t="s">
        <v>2049</v>
      </c>
      <c r="G585" s="30"/>
      <c r="H585" s="30" t="s">
        <v>2715</v>
      </c>
      <c r="I585" s="30" t="s">
        <v>2015</v>
      </c>
      <c r="J585" s="30" t="s">
        <v>2015</v>
      </c>
      <c r="K585" s="30" t="s">
        <v>2018</v>
      </c>
      <c r="L585" s="30" t="s">
        <v>2017</v>
      </c>
      <c r="M585" s="30" t="s">
        <v>2018</v>
      </c>
      <c r="N585" s="30" t="s">
        <v>2018</v>
      </c>
      <c r="O585" s="30" t="s">
        <v>2015</v>
      </c>
      <c r="P585" s="32">
        <v>324</v>
      </c>
      <c r="Q585" s="32">
        <v>249</v>
      </c>
      <c r="R585" s="32">
        <v>36</v>
      </c>
      <c r="S585" s="32">
        <v>23</v>
      </c>
      <c r="T585" s="32">
        <v>10</v>
      </c>
      <c r="U585" s="32">
        <v>24</v>
      </c>
      <c r="V585" s="32">
        <v>18</v>
      </c>
      <c r="W585" s="32">
        <v>7</v>
      </c>
      <c r="X585" s="32">
        <v>60</v>
      </c>
      <c r="Y585" s="32">
        <v>41</v>
      </c>
      <c r="Z585" s="32">
        <v>17</v>
      </c>
      <c r="AA585" s="32">
        <v>108</v>
      </c>
      <c r="AB585" s="32">
        <v>69</v>
      </c>
      <c r="AC585" s="32">
        <v>30</v>
      </c>
      <c r="AD585" s="32">
        <v>26</v>
      </c>
      <c r="AE585" s="32">
        <v>20</v>
      </c>
      <c r="AF585" s="32">
        <v>8</v>
      </c>
      <c r="AG585" s="32">
        <v>134</v>
      </c>
      <c r="AH585" s="32">
        <v>89</v>
      </c>
      <c r="AI585" s="32">
        <v>38</v>
      </c>
      <c r="AJ585" s="32">
        <v>134</v>
      </c>
      <c r="AK585" s="32">
        <v>327</v>
      </c>
      <c r="AL585" s="32">
        <v>41</v>
      </c>
    </row>
    <row r="586" spans="1:38" ht="13.5" customHeight="1">
      <c r="A586" s="30" t="s">
        <v>2272</v>
      </c>
      <c r="B586" s="30" t="s">
        <v>2273</v>
      </c>
      <c r="C586" s="30" t="s">
        <v>235</v>
      </c>
      <c r="D586" s="30" t="s">
        <v>2012</v>
      </c>
      <c r="E586" s="30" t="s">
        <v>2048</v>
      </c>
      <c r="F586" s="30" t="s">
        <v>2049</v>
      </c>
      <c r="G586" s="30"/>
      <c r="H586" s="30" t="s">
        <v>2716</v>
      </c>
      <c r="I586" s="30" t="s">
        <v>2015</v>
      </c>
      <c r="J586" s="30" t="s">
        <v>2015</v>
      </c>
      <c r="K586" s="30" t="s">
        <v>2018</v>
      </c>
      <c r="L586" s="30" t="s">
        <v>2017</v>
      </c>
      <c r="M586" s="30" t="s">
        <v>2018</v>
      </c>
      <c r="N586" s="30" t="s">
        <v>2018</v>
      </c>
      <c r="O586" s="30" t="s">
        <v>2015</v>
      </c>
      <c r="P586" s="32">
        <v>1157</v>
      </c>
      <c r="Q586" s="32">
        <v>644</v>
      </c>
      <c r="R586" s="32">
        <v>157</v>
      </c>
      <c r="S586" s="32">
        <v>91</v>
      </c>
      <c r="T586" s="32">
        <v>43</v>
      </c>
      <c r="U586" s="32">
        <v>151</v>
      </c>
      <c r="V586" s="32">
        <v>122</v>
      </c>
      <c r="W586" s="32">
        <v>86</v>
      </c>
      <c r="X586" s="32">
        <v>308</v>
      </c>
      <c r="Y586" s="32">
        <v>213</v>
      </c>
      <c r="Z586" s="32">
        <v>129</v>
      </c>
      <c r="AA586" s="32">
        <v>455</v>
      </c>
      <c r="AB586" s="32">
        <v>264</v>
      </c>
      <c r="AC586" s="32">
        <v>125</v>
      </c>
      <c r="AD586" s="32">
        <v>166</v>
      </c>
      <c r="AE586" s="32">
        <v>134</v>
      </c>
      <c r="AF586" s="32">
        <v>95</v>
      </c>
      <c r="AG586" s="32">
        <v>621</v>
      </c>
      <c r="AH586" s="32">
        <v>398</v>
      </c>
      <c r="AI586" s="32">
        <v>220</v>
      </c>
      <c r="AJ586" s="32">
        <v>621</v>
      </c>
      <c r="AK586" s="32">
        <v>1130</v>
      </c>
      <c r="AL586" s="32">
        <v>55</v>
      </c>
    </row>
    <row r="587" spans="1:38" ht="13.5" customHeight="1">
      <c r="A587" s="30" t="s">
        <v>2272</v>
      </c>
      <c r="B587" s="30" t="s">
        <v>2273</v>
      </c>
      <c r="C587" s="30" t="s">
        <v>235</v>
      </c>
      <c r="D587" s="30" t="s">
        <v>2012</v>
      </c>
      <c r="E587" s="30" t="s">
        <v>2048</v>
      </c>
      <c r="F587" s="30" t="s">
        <v>2049</v>
      </c>
      <c r="G587" s="30"/>
      <c r="H587" s="30" t="s">
        <v>2717</v>
      </c>
      <c r="I587" s="30" t="s">
        <v>2015</v>
      </c>
      <c r="J587" s="30" t="s">
        <v>2015</v>
      </c>
      <c r="K587" s="30" t="s">
        <v>2018</v>
      </c>
      <c r="L587" s="30" t="s">
        <v>2017</v>
      </c>
      <c r="M587" s="30" t="s">
        <v>2018</v>
      </c>
      <c r="N587" s="30" t="s">
        <v>2018</v>
      </c>
      <c r="O587" s="30" t="s">
        <v>2015</v>
      </c>
      <c r="P587" s="32">
        <v>19</v>
      </c>
      <c r="Q587" s="32">
        <v>25</v>
      </c>
      <c r="R587" s="32">
        <v>0</v>
      </c>
      <c r="S587" s="32">
        <v>0</v>
      </c>
      <c r="T587" s="32">
        <v>0</v>
      </c>
      <c r="U587" s="32">
        <v>1</v>
      </c>
      <c r="V587" s="32">
        <v>0</v>
      </c>
      <c r="W587" s="32">
        <v>0</v>
      </c>
      <c r="X587" s="32">
        <v>1</v>
      </c>
      <c r="Y587" s="32">
        <v>0</v>
      </c>
      <c r="Z587" s="32">
        <v>0</v>
      </c>
      <c r="AA587" s="32">
        <v>0</v>
      </c>
      <c r="AB587" s="32">
        <v>0</v>
      </c>
      <c r="AC587" s="32">
        <v>0</v>
      </c>
      <c r="AD587" s="32">
        <v>3</v>
      </c>
      <c r="AE587" s="32">
        <v>0</v>
      </c>
      <c r="AF587" s="32">
        <v>0</v>
      </c>
      <c r="AG587" s="32">
        <v>3</v>
      </c>
      <c r="AH587" s="32">
        <v>0</v>
      </c>
      <c r="AI587" s="32">
        <v>0</v>
      </c>
      <c r="AJ587" s="32">
        <v>3</v>
      </c>
      <c r="AK587" s="32">
        <v>19</v>
      </c>
      <c r="AL587" s="32">
        <v>15.8</v>
      </c>
    </row>
    <row r="588" spans="1:38" ht="13.5" customHeight="1">
      <c r="A588" s="30" t="s">
        <v>2272</v>
      </c>
      <c r="B588" s="30" t="s">
        <v>2273</v>
      </c>
      <c r="C588" s="30" t="s">
        <v>235</v>
      </c>
      <c r="D588" s="30" t="s">
        <v>2012</v>
      </c>
      <c r="E588" s="30" t="s">
        <v>2048</v>
      </c>
      <c r="F588" s="30" t="s">
        <v>2049</v>
      </c>
      <c r="G588" s="30"/>
      <c r="H588" s="30" t="s">
        <v>2718</v>
      </c>
      <c r="I588" s="30" t="s">
        <v>2015</v>
      </c>
      <c r="J588" s="30" t="s">
        <v>2015</v>
      </c>
      <c r="K588" s="30" t="s">
        <v>2018</v>
      </c>
      <c r="L588" s="30" t="s">
        <v>2017</v>
      </c>
      <c r="M588" s="30" t="s">
        <v>2018</v>
      </c>
      <c r="N588" s="30" t="s">
        <v>2018</v>
      </c>
      <c r="O588" s="30" t="s">
        <v>2015</v>
      </c>
      <c r="P588" s="32">
        <v>459</v>
      </c>
      <c r="Q588" s="32">
        <v>267</v>
      </c>
      <c r="R588" s="32">
        <v>64</v>
      </c>
      <c r="S588" s="32">
        <v>40</v>
      </c>
      <c r="T588" s="32">
        <v>18</v>
      </c>
      <c r="U588" s="32">
        <v>46</v>
      </c>
      <c r="V588" s="32">
        <v>32</v>
      </c>
      <c r="W588" s="32">
        <v>20</v>
      </c>
      <c r="X588" s="32">
        <v>110</v>
      </c>
      <c r="Y588" s="32">
        <v>72</v>
      </c>
      <c r="Z588" s="32">
        <v>38</v>
      </c>
      <c r="AA588" s="32">
        <v>211</v>
      </c>
      <c r="AB588" s="32">
        <v>132</v>
      </c>
      <c r="AC588" s="32">
        <v>59</v>
      </c>
      <c r="AD588" s="32">
        <v>55</v>
      </c>
      <c r="AE588" s="32">
        <v>38</v>
      </c>
      <c r="AF588" s="32">
        <v>24</v>
      </c>
      <c r="AG588" s="32">
        <v>266</v>
      </c>
      <c r="AH588" s="32">
        <v>170</v>
      </c>
      <c r="AI588" s="32">
        <v>83</v>
      </c>
      <c r="AJ588" s="32">
        <v>266</v>
      </c>
      <c r="AK588" s="32">
        <v>475</v>
      </c>
      <c r="AL588" s="32">
        <v>56</v>
      </c>
    </row>
    <row r="589" spans="1:38" ht="13.5" customHeight="1">
      <c r="A589" s="30" t="s">
        <v>2272</v>
      </c>
      <c r="B589" s="30" t="s">
        <v>2273</v>
      </c>
      <c r="C589" s="30" t="s">
        <v>235</v>
      </c>
      <c r="D589" s="30" t="s">
        <v>2012</v>
      </c>
      <c r="E589" s="30" t="s">
        <v>2048</v>
      </c>
      <c r="F589" s="30" t="s">
        <v>2049</v>
      </c>
      <c r="G589" s="30"/>
      <c r="H589" s="30" t="s">
        <v>2719</v>
      </c>
      <c r="I589" s="30" t="s">
        <v>2015</v>
      </c>
      <c r="J589" s="30" t="s">
        <v>2015</v>
      </c>
      <c r="K589" s="30" t="s">
        <v>2018</v>
      </c>
      <c r="L589" s="30" t="s">
        <v>2017</v>
      </c>
      <c r="M589" s="30" t="s">
        <v>2018</v>
      </c>
      <c r="N589" s="30" t="s">
        <v>2018</v>
      </c>
      <c r="O589" s="30" t="s">
        <v>2015</v>
      </c>
      <c r="P589" s="32">
        <v>599</v>
      </c>
      <c r="Q589" s="32">
        <v>310</v>
      </c>
      <c r="R589" s="32">
        <v>60</v>
      </c>
      <c r="S589" s="32">
        <v>31</v>
      </c>
      <c r="T589" s="32">
        <v>17</v>
      </c>
      <c r="U589" s="32">
        <v>68</v>
      </c>
      <c r="V589" s="32">
        <v>58</v>
      </c>
      <c r="W589" s="32">
        <v>36</v>
      </c>
      <c r="X589" s="32">
        <v>128</v>
      </c>
      <c r="Y589" s="32">
        <v>89</v>
      </c>
      <c r="Z589" s="32">
        <v>53</v>
      </c>
      <c r="AA589" s="32">
        <v>180</v>
      </c>
      <c r="AB589" s="32">
        <v>93</v>
      </c>
      <c r="AC589" s="32">
        <v>51</v>
      </c>
      <c r="AD589" s="32">
        <v>82</v>
      </c>
      <c r="AE589" s="32">
        <v>70</v>
      </c>
      <c r="AF589" s="32">
        <v>43</v>
      </c>
      <c r="AG589" s="32">
        <v>262</v>
      </c>
      <c r="AH589" s="32">
        <v>163</v>
      </c>
      <c r="AI589" s="32">
        <v>94</v>
      </c>
      <c r="AJ589" s="32">
        <v>262</v>
      </c>
      <c r="AK589" s="32">
        <v>583</v>
      </c>
      <c r="AL589" s="32">
        <v>44.9</v>
      </c>
    </row>
    <row r="590" spans="1:38" ht="13.5" customHeight="1">
      <c r="A590" s="30" t="s">
        <v>2272</v>
      </c>
      <c r="B590" s="30" t="s">
        <v>2273</v>
      </c>
      <c r="C590" s="30" t="s">
        <v>235</v>
      </c>
      <c r="D590" s="30" t="s">
        <v>2012</v>
      </c>
      <c r="E590" s="30" t="s">
        <v>2048</v>
      </c>
      <c r="F590" s="30" t="s">
        <v>2049</v>
      </c>
      <c r="G590" s="30"/>
      <c r="H590" s="30" t="s">
        <v>2720</v>
      </c>
      <c r="I590" s="30" t="s">
        <v>2015</v>
      </c>
      <c r="J590" s="30" t="s">
        <v>2015</v>
      </c>
      <c r="K590" s="30" t="s">
        <v>2018</v>
      </c>
      <c r="L590" s="30" t="s">
        <v>2017</v>
      </c>
      <c r="M590" s="30" t="s">
        <v>2018</v>
      </c>
      <c r="N590" s="30" t="s">
        <v>2018</v>
      </c>
      <c r="O590" s="30" t="s">
        <v>2015</v>
      </c>
      <c r="P590" s="32">
        <v>145</v>
      </c>
      <c r="Q590" s="32">
        <v>160</v>
      </c>
      <c r="R590" s="32">
        <v>12</v>
      </c>
      <c r="S590" s="32">
        <v>8</v>
      </c>
      <c r="T590" s="32">
        <v>3</v>
      </c>
      <c r="U590" s="32">
        <v>13</v>
      </c>
      <c r="V590" s="32">
        <v>11</v>
      </c>
      <c r="W590" s="32">
        <v>9</v>
      </c>
      <c r="X590" s="32">
        <v>25</v>
      </c>
      <c r="Y590" s="32">
        <v>19</v>
      </c>
      <c r="Z590" s="32">
        <v>12</v>
      </c>
      <c r="AA590" s="32">
        <v>35</v>
      </c>
      <c r="AB590" s="32">
        <v>23</v>
      </c>
      <c r="AC590" s="32">
        <v>9</v>
      </c>
      <c r="AD590" s="32">
        <v>22</v>
      </c>
      <c r="AE590" s="32">
        <v>19</v>
      </c>
      <c r="AF590" s="32">
        <v>15</v>
      </c>
      <c r="AG590" s="32">
        <v>57</v>
      </c>
      <c r="AH590" s="32">
        <v>42</v>
      </c>
      <c r="AI590" s="32">
        <v>24</v>
      </c>
      <c r="AJ590" s="32">
        <v>57</v>
      </c>
      <c r="AK590" s="32">
        <v>145</v>
      </c>
      <c r="AL590" s="32">
        <v>39.299999999999997</v>
      </c>
    </row>
    <row r="591" spans="1:38" ht="13.5" customHeight="1">
      <c r="A591" s="30" t="s">
        <v>2272</v>
      </c>
      <c r="B591" s="30" t="s">
        <v>2273</v>
      </c>
      <c r="C591" s="30" t="s">
        <v>235</v>
      </c>
      <c r="D591" s="30" t="s">
        <v>2012</v>
      </c>
      <c r="E591" s="30" t="s">
        <v>2048</v>
      </c>
      <c r="F591" s="30" t="s">
        <v>2049</v>
      </c>
      <c r="G591" s="30"/>
      <c r="H591" s="30" t="s">
        <v>2721</v>
      </c>
      <c r="I591" s="30" t="s">
        <v>2015</v>
      </c>
      <c r="J591" s="30" t="s">
        <v>2015</v>
      </c>
      <c r="K591" s="30" t="s">
        <v>2018</v>
      </c>
      <c r="L591" s="30" t="s">
        <v>2017</v>
      </c>
      <c r="M591" s="30" t="s">
        <v>2018</v>
      </c>
      <c r="N591" s="30" t="s">
        <v>2018</v>
      </c>
      <c r="O591" s="30" t="s">
        <v>2015</v>
      </c>
      <c r="P591" s="32">
        <v>108</v>
      </c>
      <c r="Q591" s="32">
        <v>99</v>
      </c>
      <c r="R591" s="32">
        <v>15</v>
      </c>
      <c r="S591" s="32">
        <v>8</v>
      </c>
      <c r="T591" s="32">
        <v>6</v>
      </c>
      <c r="U591" s="32">
        <v>0</v>
      </c>
      <c r="V591" s="32">
        <v>0</v>
      </c>
      <c r="W591" s="32">
        <v>0</v>
      </c>
      <c r="X591" s="32">
        <v>15</v>
      </c>
      <c r="Y591" s="32">
        <v>8</v>
      </c>
      <c r="Z591" s="32">
        <v>6</v>
      </c>
      <c r="AA591" s="32">
        <v>48</v>
      </c>
      <c r="AB591" s="32">
        <v>26</v>
      </c>
      <c r="AC591" s="32">
        <v>19</v>
      </c>
      <c r="AD591" s="32">
        <v>0</v>
      </c>
      <c r="AE591" s="32">
        <v>0</v>
      </c>
      <c r="AF591" s="32">
        <v>0</v>
      </c>
      <c r="AG591" s="32">
        <v>48</v>
      </c>
      <c r="AH591" s="32">
        <v>26</v>
      </c>
      <c r="AI591" s="32">
        <v>19</v>
      </c>
      <c r="AJ591" s="32">
        <v>48</v>
      </c>
      <c r="AK591" s="32">
        <v>100</v>
      </c>
      <c r="AL591" s="32">
        <v>48</v>
      </c>
    </row>
    <row r="592" spans="1:38" ht="13.5" customHeight="1">
      <c r="A592" s="30" t="s">
        <v>2272</v>
      </c>
      <c r="B592" s="30" t="s">
        <v>2273</v>
      </c>
      <c r="C592" s="30" t="s">
        <v>235</v>
      </c>
      <c r="D592" s="30" t="s">
        <v>2012</v>
      </c>
      <c r="E592" s="30" t="s">
        <v>2048</v>
      </c>
      <c r="F592" s="30" t="s">
        <v>2049</v>
      </c>
      <c r="G592" s="30"/>
      <c r="H592" s="30" t="s">
        <v>2722</v>
      </c>
      <c r="I592" s="30" t="s">
        <v>2015</v>
      </c>
      <c r="J592" s="30" t="s">
        <v>2015</v>
      </c>
      <c r="K592" s="30" t="s">
        <v>2018</v>
      </c>
      <c r="L592" s="30" t="s">
        <v>2017</v>
      </c>
      <c r="M592" s="30" t="s">
        <v>2018</v>
      </c>
      <c r="N592" s="30" t="s">
        <v>2018</v>
      </c>
      <c r="O592" s="30" t="s">
        <v>2015</v>
      </c>
      <c r="P592" s="32">
        <v>623</v>
      </c>
      <c r="Q592" s="32">
        <v>348</v>
      </c>
      <c r="R592" s="32">
        <v>75</v>
      </c>
      <c r="S592" s="32">
        <v>36</v>
      </c>
      <c r="T592" s="32">
        <v>19</v>
      </c>
      <c r="U592" s="32">
        <v>40</v>
      </c>
      <c r="V592" s="32">
        <v>35</v>
      </c>
      <c r="W592" s="32">
        <v>22</v>
      </c>
      <c r="X592" s="32">
        <v>115</v>
      </c>
      <c r="Y592" s="32">
        <v>71</v>
      </c>
      <c r="Z592" s="32">
        <v>41</v>
      </c>
      <c r="AA592" s="32">
        <v>225</v>
      </c>
      <c r="AB592" s="32">
        <v>108</v>
      </c>
      <c r="AC592" s="32">
        <v>57</v>
      </c>
      <c r="AD592" s="32">
        <v>48</v>
      </c>
      <c r="AE592" s="32">
        <v>42</v>
      </c>
      <c r="AF592" s="32">
        <v>26</v>
      </c>
      <c r="AG592" s="32">
        <v>273</v>
      </c>
      <c r="AH592" s="32">
        <v>150</v>
      </c>
      <c r="AI592" s="32">
        <v>83</v>
      </c>
      <c r="AJ592" s="32">
        <v>273</v>
      </c>
      <c r="AK592" s="32">
        <v>629</v>
      </c>
      <c r="AL592" s="32">
        <v>43.4</v>
      </c>
    </row>
    <row r="593" spans="1:38" ht="13.5" customHeight="1">
      <c r="A593" s="30" t="s">
        <v>2272</v>
      </c>
      <c r="B593" s="30" t="s">
        <v>2273</v>
      </c>
      <c r="C593" s="30" t="s">
        <v>235</v>
      </c>
      <c r="D593" s="30" t="s">
        <v>2012</v>
      </c>
      <c r="E593" s="30" t="s">
        <v>2048</v>
      </c>
      <c r="F593" s="30" t="s">
        <v>2049</v>
      </c>
      <c r="G593" s="30"/>
      <c r="H593" s="30" t="s">
        <v>2723</v>
      </c>
      <c r="I593" s="30" t="s">
        <v>2015</v>
      </c>
      <c r="J593" s="30" t="s">
        <v>2015</v>
      </c>
      <c r="K593" s="30" t="s">
        <v>2018</v>
      </c>
      <c r="L593" s="30" t="s">
        <v>2017</v>
      </c>
      <c r="M593" s="30" t="s">
        <v>2018</v>
      </c>
      <c r="N593" s="30" t="s">
        <v>2018</v>
      </c>
      <c r="O593" s="30" t="s">
        <v>2015</v>
      </c>
      <c r="P593" s="32">
        <v>629</v>
      </c>
      <c r="Q593" s="32">
        <v>544</v>
      </c>
      <c r="R593" s="32">
        <v>111</v>
      </c>
      <c r="S593" s="32">
        <v>67</v>
      </c>
      <c r="T593" s="32">
        <v>33</v>
      </c>
      <c r="U593" s="32">
        <v>70</v>
      </c>
      <c r="V593" s="32">
        <v>55</v>
      </c>
      <c r="W593" s="32">
        <v>39</v>
      </c>
      <c r="X593" s="32">
        <v>181</v>
      </c>
      <c r="Y593" s="32">
        <v>122</v>
      </c>
      <c r="Z593" s="32">
        <v>72</v>
      </c>
      <c r="AA593" s="32">
        <v>355</v>
      </c>
      <c r="AB593" s="32">
        <v>214</v>
      </c>
      <c r="AC593" s="32">
        <v>106</v>
      </c>
      <c r="AD593" s="32">
        <v>77</v>
      </c>
      <c r="AE593" s="32">
        <v>61</v>
      </c>
      <c r="AF593" s="32">
        <v>43</v>
      </c>
      <c r="AG593" s="32">
        <v>432</v>
      </c>
      <c r="AH593" s="32">
        <v>275</v>
      </c>
      <c r="AI593" s="32">
        <v>149</v>
      </c>
      <c r="AJ593" s="32">
        <v>432</v>
      </c>
      <c r="AK593" s="32">
        <v>632</v>
      </c>
      <c r="AL593" s="32">
        <v>68.400000000000006</v>
      </c>
    </row>
    <row r="594" spans="1:38" ht="13.5" customHeight="1">
      <c r="A594" s="30" t="s">
        <v>2272</v>
      </c>
      <c r="B594" s="30" t="s">
        <v>2273</v>
      </c>
      <c r="C594" s="30" t="s">
        <v>235</v>
      </c>
      <c r="D594" s="30" t="s">
        <v>2012</v>
      </c>
      <c r="E594" s="30" t="s">
        <v>2048</v>
      </c>
      <c r="F594" s="30" t="s">
        <v>2049</v>
      </c>
      <c r="G594" s="30"/>
      <c r="H594" s="30" t="s">
        <v>2724</v>
      </c>
      <c r="I594" s="30" t="s">
        <v>2015</v>
      </c>
      <c r="J594" s="30" t="s">
        <v>2015</v>
      </c>
      <c r="K594" s="30" t="s">
        <v>2018</v>
      </c>
      <c r="L594" s="30" t="s">
        <v>2017</v>
      </c>
      <c r="M594" s="30" t="s">
        <v>2018</v>
      </c>
      <c r="N594" s="30" t="s">
        <v>2018</v>
      </c>
      <c r="O594" s="30" t="s">
        <v>2015</v>
      </c>
      <c r="P594" s="32">
        <v>49</v>
      </c>
      <c r="Q594" s="32">
        <v>57</v>
      </c>
      <c r="R594" s="32">
        <v>13</v>
      </c>
      <c r="S594" s="32">
        <v>8</v>
      </c>
      <c r="T594" s="32">
        <v>1</v>
      </c>
      <c r="U594" s="32">
        <v>2</v>
      </c>
      <c r="V594" s="32">
        <v>0</v>
      </c>
      <c r="W594" s="32">
        <v>0</v>
      </c>
      <c r="X594" s="32">
        <v>15</v>
      </c>
      <c r="Y594" s="32">
        <v>8</v>
      </c>
      <c r="Z594" s="32">
        <v>1</v>
      </c>
      <c r="AA594" s="32">
        <v>27</v>
      </c>
      <c r="AB594" s="32">
        <v>17</v>
      </c>
      <c r="AC594" s="32">
        <v>2</v>
      </c>
      <c r="AD594" s="32">
        <v>2</v>
      </c>
      <c r="AE594" s="32">
        <v>0</v>
      </c>
      <c r="AF594" s="32">
        <v>0</v>
      </c>
      <c r="AG594" s="32">
        <v>29</v>
      </c>
      <c r="AH594" s="32">
        <v>17</v>
      </c>
      <c r="AI594" s="32">
        <v>2</v>
      </c>
      <c r="AJ594" s="32">
        <v>29</v>
      </c>
      <c r="AK594" s="32">
        <v>35</v>
      </c>
      <c r="AL594" s="32">
        <v>82.9</v>
      </c>
    </row>
    <row r="595" spans="1:38" ht="13.5" customHeight="1">
      <c r="A595" s="30" t="s">
        <v>2272</v>
      </c>
      <c r="B595" s="30" t="s">
        <v>2273</v>
      </c>
      <c r="C595" s="30" t="s">
        <v>235</v>
      </c>
      <c r="D595" s="30" t="s">
        <v>2012</v>
      </c>
      <c r="E595" s="30" t="s">
        <v>2048</v>
      </c>
      <c r="F595" s="30" t="s">
        <v>2049</v>
      </c>
      <c r="G595" s="30"/>
      <c r="H595" s="30" t="s">
        <v>2725</v>
      </c>
      <c r="I595" s="30" t="s">
        <v>2015</v>
      </c>
      <c r="J595" s="30" t="s">
        <v>2015</v>
      </c>
      <c r="K595" s="30" t="s">
        <v>2018</v>
      </c>
      <c r="L595" s="30" t="s">
        <v>2017</v>
      </c>
      <c r="M595" s="30" t="s">
        <v>2018</v>
      </c>
      <c r="N595" s="30" t="s">
        <v>2018</v>
      </c>
      <c r="O595" s="30" t="s">
        <v>2015</v>
      </c>
      <c r="P595" s="32">
        <v>319</v>
      </c>
      <c r="Q595" s="32">
        <v>201</v>
      </c>
      <c r="R595" s="32">
        <v>55</v>
      </c>
      <c r="S595" s="32">
        <v>34</v>
      </c>
      <c r="T595" s="32">
        <v>16</v>
      </c>
      <c r="U595" s="32">
        <v>44</v>
      </c>
      <c r="V595" s="32">
        <v>35</v>
      </c>
      <c r="W595" s="32">
        <v>21</v>
      </c>
      <c r="X595" s="32">
        <v>99</v>
      </c>
      <c r="Y595" s="32">
        <v>69</v>
      </c>
      <c r="Z595" s="32">
        <v>37</v>
      </c>
      <c r="AA595" s="32">
        <v>149</v>
      </c>
      <c r="AB595" s="32">
        <v>92</v>
      </c>
      <c r="AC595" s="32">
        <v>43</v>
      </c>
      <c r="AD595" s="32">
        <v>44</v>
      </c>
      <c r="AE595" s="32">
        <v>35</v>
      </c>
      <c r="AF595" s="32">
        <v>21</v>
      </c>
      <c r="AG595" s="32">
        <v>193</v>
      </c>
      <c r="AH595" s="32">
        <v>127</v>
      </c>
      <c r="AI595" s="32">
        <v>64</v>
      </c>
      <c r="AJ595" s="32">
        <v>193</v>
      </c>
      <c r="AK595" s="32">
        <v>326</v>
      </c>
      <c r="AL595" s="32">
        <v>59.2</v>
      </c>
    </row>
    <row r="596" spans="1:38" ht="13.5" customHeight="1">
      <c r="A596" s="30" t="s">
        <v>2272</v>
      </c>
      <c r="B596" s="30" t="s">
        <v>2273</v>
      </c>
      <c r="C596" s="30" t="s">
        <v>235</v>
      </c>
      <c r="D596" s="30" t="s">
        <v>2012</v>
      </c>
      <c r="E596" s="30" t="s">
        <v>2048</v>
      </c>
      <c r="F596" s="30" t="s">
        <v>2049</v>
      </c>
      <c r="G596" s="30"/>
      <c r="H596" s="30" t="s">
        <v>2726</v>
      </c>
      <c r="I596" s="30" t="s">
        <v>2015</v>
      </c>
      <c r="J596" s="30" t="s">
        <v>2015</v>
      </c>
      <c r="K596" s="30" t="s">
        <v>2018</v>
      </c>
      <c r="L596" s="30" t="s">
        <v>2017</v>
      </c>
      <c r="M596" s="30" t="s">
        <v>2018</v>
      </c>
      <c r="N596" s="30" t="s">
        <v>2018</v>
      </c>
      <c r="O596" s="30" t="s">
        <v>2015</v>
      </c>
      <c r="P596" s="32">
        <v>768</v>
      </c>
      <c r="Q596" s="32">
        <v>609</v>
      </c>
      <c r="R596" s="32">
        <v>122</v>
      </c>
      <c r="S596" s="32">
        <v>69</v>
      </c>
      <c r="T596" s="32">
        <v>32</v>
      </c>
      <c r="U596" s="32">
        <v>56</v>
      </c>
      <c r="V596" s="32">
        <v>48</v>
      </c>
      <c r="W596" s="32">
        <v>30</v>
      </c>
      <c r="X596" s="32">
        <v>178</v>
      </c>
      <c r="Y596" s="32">
        <v>117</v>
      </c>
      <c r="Z596" s="32">
        <v>62</v>
      </c>
      <c r="AA596" s="32">
        <v>386</v>
      </c>
      <c r="AB596" s="32">
        <v>218</v>
      </c>
      <c r="AC596" s="32">
        <v>101</v>
      </c>
      <c r="AD596" s="32">
        <v>78</v>
      </c>
      <c r="AE596" s="32">
        <v>68</v>
      </c>
      <c r="AF596" s="32">
        <v>42</v>
      </c>
      <c r="AG596" s="32">
        <v>464</v>
      </c>
      <c r="AH596" s="32">
        <v>286</v>
      </c>
      <c r="AI596" s="32">
        <v>143</v>
      </c>
      <c r="AJ596" s="32">
        <v>464</v>
      </c>
      <c r="AK596" s="32">
        <v>795</v>
      </c>
      <c r="AL596" s="32">
        <v>58.4</v>
      </c>
    </row>
    <row r="597" spans="1:38" ht="13.5" customHeight="1">
      <c r="A597" s="30" t="s">
        <v>2272</v>
      </c>
      <c r="B597" s="30" t="s">
        <v>2273</v>
      </c>
      <c r="C597" s="30" t="s">
        <v>235</v>
      </c>
      <c r="D597" s="30" t="s">
        <v>2012</v>
      </c>
      <c r="E597" s="30" t="s">
        <v>2048</v>
      </c>
      <c r="F597" s="30" t="s">
        <v>2049</v>
      </c>
      <c r="G597" s="30"/>
      <c r="H597" s="30" t="s">
        <v>2727</v>
      </c>
      <c r="I597" s="30" t="s">
        <v>2015</v>
      </c>
      <c r="J597" s="30" t="s">
        <v>2015</v>
      </c>
      <c r="K597" s="30" t="s">
        <v>2018</v>
      </c>
      <c r="L597" s="30" t="s">
        <v>2017</v>
      </c>
      <c r="M597" s="30" t="s">
        <v>2018</v>
      </c>
      <c r="N597" s="30" t="s">
        <v>2018</v>
      </c>
      <c r="O597" s="30" t="s">
        <v>2015</v>
      </c>
      <c r="P597" s="32">
        <v>1298</v>
      </c>
      <c r="Q597" s="32">
        <v>776</v>
      </c>
      <c r="R597" s="32">
        <v>176</v>
      </c>
      <c r="S597" s="32">
        <v>87</v>
      </c>
      <c r="T597" s="32">
        <v>34</v>
      </c>
      <c r="U597" s="32">
        <v>131</v>
      </c>
      <c r="V597" s="32">
        <v>96</v>
      </c>
      <c r="W597" s="32">
        <v>60</v>
      </c>
      <c r="X597" s="32">
        <v>307</v>
      </c>
      <c r="Y597" s="32">
        <v>183</v>
      </c>
      <c r="Z597" s="32">
        <v>94</v>
      </c>
      <c r="AA597" s="32">
        <v>528</v>
      </c>
      <c r="AB597" s="32">
        <v>261</v>
      </c>
      <c r="AC597" s="32">
        <v>102</v>
      </c>
      <c r="AD597" s="32">
        <v>157</v>
      </c>
      <c r="AE597" s="32">
        <v>115</v>
      </c>
      <c r="AF597" s="32">
        <v>72</v>
      </c>
      <c r="AG597" s="32">
        <v>685</v>
      </c>
      <c r="AH597" s="32">
        <v>376</v>
      </c>
      <c r="AI597" s="32">
        <v>174</v>
      </c>
      <c r="AJ597" s="32">
        <v>685</v>
      </c>
      <c r="AK597" s="32">
        <v>1379</v>
      </c>
      <c r="AL597" s="32">
        <v>49.7</v>
      </c>
    </row>
    <row r="598" spans="1:38" ht="13.5" customHeight="1">
      <c r="A598" s="30" t="s">
        <v>2272</v>
      </c>
      <c r="B598" s="30" t="s">
        <v>2273</v>
      </c>
      <c r="C598" s="30" t="s">
        <v>235</v>
      </c>
      <c r="D598" s="30" t="s">
        <v>2012</v>
      </c>
      <c r="E598" s="30" t="s">
        <v>2048</v>
      </c>
      <c r="F598" s="30" t="s">
        <v>2049</v>
      </c>
      <c r="G598" s="30"/>
      <c r="H598" s="30" t="s">
        <v>2112</v>
      </c>
      <c r="I598" s="30" t="s">
        <v>2015</v>
      </c>
      <c r="J598" s="30" t="s">
        <v>2015</v>
      </c>
      <c r="K598" s="30" t="s">
        <v>2018</v>
      </c>
      <c r="L598" s="30" t="s">
        <v>2017</v>
      </c>
      <c r="M598" s="30" t="s">
        <v>2018</v>
      </c>
      <c r="N598" s="30" t="s">
        <v>2018</v>
      </c>
      <c r="O598" s="30" t="s">
        <v>2015</v>
      </c>
      <c r="P598" s="32">
        <v>1640</v>
      </c>
      <c r="Q598" s="32">
        <v>1061</v>
      </c>
      <c r="R598" s="32">
        <v>216</v>
      </c>
      <c r="S598" s="32">
        <v>108</v>
      </c>
      <c r="T598" s="32">
        <v>44</v>
      </c>
      <c r="U598" s="32">
        <v>230</v>
      </c>
      <c r="V598" s="32">
        <v>181</v>
      </c>
      <c r="W598" s="32">
        <v>102</v>
      </c>
      <c r="X598" s="32">
        <v>446</v>
      </c>
      <c r="Y598" s="32">
        <v>289</v>
      </c>
      <c r="Z598" s="32">
        <v>146</v>
      </c>
      <c r="AA598" s="32">
        <v>605</v>
      </c>
      <c r="AB598" s="32">
        <v>302</v>
      </c>
      <c r="AC598" s="32">
        <v>123</v>
      </c>
      <c r="AD598" s="32">
        <v>282</v>
      </c>
      <c r="AE598" s="32">
        <v>223</v>
      </c>
      <c r="AF598" s="32">
        <v>126</v>
      </c>
      <c r="AG598" s="32">
        <v>887</v>
      </c>
      <c r="AH598" s="32">
        <v>525</v>
      </c>
      <c r="AI598" s="32">
        <v>249</v>
      </c>
      <c r="AJ598" s="32">
        <v>887</v>
      </c>
      <c r="AK598" s="32">
        <v>1604</v>
      </c>
      <c r="AL598" s="32">
        <v>55.3</v>
      </c>
    </row>
    <row r="599" spans="1:38" ht="13.5" customHeight="1">
      <c r="A599" s="30" t="s">
        <v>2272</v>
      </c>
      <c r="B599" s="30" t="s">
        <v>2273</v>
      </c>
      <c r="C599" s="30" t="s">
        <v>235</v>
      </c>
      <c r="D599" s="30" t="s">
        <v>2012</v>
      </c>
      <c r="E599" s="30" t="s">
        <v>2048</v>
      </c>
      <c r="F599" s="30" t="s">
        <v>2049</v>
      </c>
      <c r="G599" s="30"/>
      <c r="H599" s="30" t="s">
        <v>2728</v>
      </c>
      <c r="I599" s="30" t="s">
        <v>2015</v>
      </c>
      <c r="J599" s="30" t="s">
        <v>2015</v>
      </c>
      <c r="K599" s="30" t="s">
        <v>2018</v>
      </c>
      <c r="L599" s="30" t="s">
        <v>2017</v>
      </c>
      <c r="M599" s="30" t="s">
        <v>2018</v>
      </c>
      <c r="N599" s="30" t="s">
        <v>2018</v>
      </c>
      <c r="O599" s="30" t="s">
        <v>2015</v>
      </c>
      <c r="P599" s="32">
        <v>150</v>
      </c>
      <c r="Q599" s="32">
        <v>243</v>
      </c>
      <c r="R599" s="32">
        <v>26</v>
      </c>
      <c r="S599" s="32">
        <v>14</v>
      </c>
      <c r="T599" s="32">
        <v>9</v>
      </c>
      <c r="U599" s="32">
        <v>16</v>
      </c>
      <c r="V599" s="32">
        <v>8</v>
      </c>
      <c r="W599" s="32">
        <v>3</v>
      </c>
      <c r="X599" s="32">
        <v>42</v>
      </c>
      <c r="Y599" s="32">
        <v>22</v>
      </c>
      <c r="Z599" s="32">
        <v>12</v>
      </c>
      <c r="AA599" s="32">
        <v>78</v>
      </c>
      <c r="AB599" s="32">
        <v>42</v>
      </c>
      <c r="AC599" s="32">
        <v>27</v>
      </c>
      <c r="AD599" s="32">
        <v>18</v>
      </c>
      <c r="AE599" s="32">
        <v>9</v>
      </c>
      <c r="AF599" s="32">
        <v>3</v>
      </c>
      <c r="AG599" s="32">
        <v>96</v>
      </c>
      <c r="AH599" s="32">
        <v>51</v>
      </c>
      <c r="AI599" s="32">
        <v>30</v>
      </c>
      <c r="AJ599" s="32">
        <v>96</v>
      </c>
      <c r="AK599" s="32">
        <v>180</v>
      </c>
      <c r="AL599" s="32">
        <v>53.3</v>
      </c>
    </row>
    <row r="600" spans="1:38" ht="13.5" customHeight="1">
      <c r="A600" s="30" t="s">
        <v>2272</v>
      </c>
      <c r="B600" s="30" t="s">
        <v>2273</v>
      </c>
      <c r="C600" s="30" t="s">
        <v>235</v>
      </c>
      <c r="D600" s="30" t="s">
        <v>2012</v>
      </c>
      <c r="E600" s="30" t="s">
        <v>2048</v>
      </c>
      <c r="F600" s="30" t="s">
        <v>2049</v>
      </c>
      <c r="G600" s="30"/>
      <c r="H600" s="30" t="s">
        <v>2729</v>
      </c>
      <c r="I600" s="30" t="s">
        <v>2015</v>
      </c>
      <c r="J600" s="30" t="s">
        <v>2015</v>
      </c>
      <c r="K600" s="30" t="s">
        <v>2018</v>
      </c>
      <c r="L600" s="30" t="s">
        <v>2017</v>
      </c>
      <c r="M600" s="30" t="s">
        <v>2018</v>
      </c>
      <c r="N600" s="30" t="s">
        <v>2018</v>
      </c>
      <c r="O600" s="30" t="s">
        <v>2015</v>
      </c>
      <c r="P600" s="32">
        <v>882</v>
      </c>
      <c r="Q600" s="32">
        <v>563</v>
      </c>
      <c r="R600" s="32">
        <v>141</v>
      </c>
      <c r="S600" s="32">
        <v>69</v>
      </c>
      <c r="T600" s="32">
        <v>29</v>
      </c>
      <c r="U600" s="32">
        <v>81</v>
      </c>
      <c r="V600" s="32">
        <v>57</v>
      </c>
      <c r="W600" s="32">
        <v>39</v>
      </c>
      <c r="X600" s="32">
        <v>222</v>
      </c>
      <c r="Y600" s="32">
        <v>126</v>
      </c>
      <c r="Z600" s="32">
        <v>68</v>
      </c>
      <c r="AA600" s="32">
        <v>395</v>
      </c>
      <c r="AB600" s="32">
        <v>193</v>
      </c>
      <c r="AC600" s="32">
        <v>81</v>
      </c>
      <c r="AD600" s="32">
        <v>97</v>
      </c>
      <c r="AE600" s="32">
        <v>68</v>
      </c>
      <c r="AF600" s="32">
        <v>47</v>
      </c>
      <c r="AG600" s="32">
        <v>492</v>
      </c>
      <c r="AH600" s="32">
        <v>261</v>
      </c>
      <c r="AI600" s="32">
        <v>128</v>
      </c>
      <c r="AJ600" s="32">
        <v>492</v>
      </c>
      <c r="AK600" s="32">
        <v>877</v>
      </c>
      <c r="AL600" s="32">
        <v>56.1</v>
      </c>
    </row>
    <row r="601" spans="1:38" ht="13.5" customHeight="1">
      <c r="A601" s="30" t="s">
        <v>2272</v>
      </c>
      <c r="B601" s="30" t="s">
        <v>2273</v>
      </c>
      <c r="C601" s="30" t="s">
        <v>235</v>
      </c>
      <c r="D601" s="30" t="s">
        <v>2012</v>
      </c>
      <c r="E601" s="30" t="s">
        <v>2048</v>
      </c>
      <c r="F601" s="30" t="s">
        <v>2049</v>
      </c>
      <c r="G601" s="30"/>
      <c r="H601" s="30" t="s">
        <v>2730</v>
      </c>
      <c r="I601" s="30" t="s">
        <v>2015</v>
      </c>
      <c r="J601" s="30" t="s">
        <v>2015</v>
      </c>
      <c r="K601" s="30" t="s">
        <v>2018</v>
      </c>
      <c r="L601" s="30" t="s">
        <v>2017</v>
      </c>
      <c r="M601" s="30" t="s">
        <v>2018</v>
      </c>
      <c r="N601" s="30" t="s">
        <v>2018</v>
      </c>
      <c r="O601" s="30" t="s">
        <v>2015</v>
      </c>
      <c r="P601" s="32">
        <v>594</v>
      </c>
      <c r="Q601" s="32">
        <v>325</v>
      </c>
      <c r="R601" s="32">
        <v>69</v>
      </c>
      <c r="S601" s="32">
        <v>32</v>
      </c>
      <c r="T601" s="32">
        <v>6</v>
      </c>
      <c r="U601" s="32">
        <v>55</v>
      </c>
      <c r="V601" s="32">
        <v>44</v>
      </c>
      <c r="W601" s="32">
        <v>28</v>
      </c>
      <c r="X601" s="32">
        <v>124</v>
      </c>
      <c r="Y601" s="32">
        <v>76</v>
      </c>
      <c r="Z601" s="32">
        <v>34</v>
      </c>
      <c r="AA601" s="32">
        <v>200</v>
      </c>
      <c r="AB601" s="32">
        <v>93</v>
      </c>
      <c r="AC601" s="32">
        <v>17</v>
      </c>
      <c r="AD601" s="32">
        <v>61</v>
      </c>
      <c r="AE601" s="32">
        <v>48</v>
      </c>
      <c r="AF601" s="32">
        <v>31</v>
      </c>
      <c r="AG601" s="32">
        <v>261</v>
      </c>
      <c r="AH601" s="32">
        <v>141</v>
      </c>
      <c r="AI601" s="32">
        <v>48</v>
      </c>
      <c r="AJ601" s="32">
        <v>261</v>
      </c>
      <c r="AK601" s="32">
        <v>557</v>
      </c>
      <c r="AL601" s="32">
        <v>46.9</v>
      </c>
    </row>
    <row r="602" spans="1:38" ht="13.5" customHeight="1">
      <c r="A602" s="30" t="s">
        <v>2272</v>
      </c>
      <c r="B602" s="30" t="s">
        <v>2273</v>
      </c>
      <c r="C602" s="30" t="s">
        <v>235</v>
      </c>
      <c r="D602" s="30" t="s">
        <v>2012</v>
      </c>
      <c r="E602" s="30" t="s">
        <v>2048</v>
      </c>
      <c r="F602" s="30" t="s">
        <v>2049</v>
      </c>
      <c r="G602" s="30"/>
      <c r="H602" s="30" t="s">
        <v>2731</v>
      </c>
      <c r="I602" s="30" t="s">
        <v>2015</v>
      </c>
      <c r="J602" s="30" t="s">
        <v>2015</v>
      </c>
      <c r="K602" s="30" t="s">
        <v>2018</v>
      </c>
      <c r="L602" s="30" t="s">
        <v>2017</v>
      </c>
      <c r="M602" s="30" t="s">
        <v>2018</v>
      </c>
      <c r="N602" s="30" t="s">
        <v>2018</v>
      </c>
      <c r="O602" s="30" t="s">
        <v>2015</v>
      </c>
      <c r="P602" s="32">
        <v>1408</v>
      </c>
      <c r="Q602" s="32">
        <v>877</v>
      </c>
      <c r="R602" s="32">
        <v>201</v>
      </c>
      <c r="S602" s="32">
        <v>122</v>
      </c>
      <c r="T602" s="32">
        <v>52</v>
      </c>
      <c r="U602" s="32">
        <v>166</v>
      </c>
      <c r="V602" s="32">
        <v>134</v>
      </c>
      <c r="W602" s="32">
        <v>90</v>
      </c>
      <c r="X602" s="32">
        <v>367</v>
      </c>
      <c r="Y602" s="32">
        <v>256</v>
      </c>
      <c r="Z602" s="32">
        <v>142</v>
      </c>
      <c r="AA602" s="32">
        <v>563</v>
      </c>
      <c r="AB602" s="32">
        <v>342</v>
      </c>
      <c r="AC602" s="32">
        <v>146</v>
      </c>
      <c r="AD602" s="32">
        <v>183</v>
      </c>
      <c r="AE602" s="32">
        <v>147</v>
      </c>
      <c r="AF602" s="32">
        <v>99</v>
      </c>
      <c r="AG602" s="32">
        <v>746</v>
      </c>
      <c r="AH602" s="32">
        <v>489</v>
      </c>
      <c r="AI602" s="32">
        <v>245</v>
      </c>
      <c r="AJ602" s="32">
        <v>746</v>
      </c>
      <c r="AK602" s="32">
        <v>1382</v>
      </c>
      <c r="AL602" s="32">
        <v>54</v>
      </c>
    </row>
    <row r="603" spans="1:38" ht="13.5" customHeight="1">
      <c r="A603" s="30" t="s">
        <v>2272</v>
      </c>
      <c r="B603" s="30" t="s">
        <v>2273</v>
      </c>
      <c r="C603" s="30" t="s">
        <v>235</v>
      </c>
      <c r="D603" s="30" t="s">
        <v>2012</v>
      </c>
      <c r="E603" s="30" t="s">
        <v>2048</v>
      </c>
      <c r="F603" s="30" t="s">
        <v>2049</v>
      </c>
      <c r="G603" s="30"/>
      <c r="H603" s="30" t="s">
        <v>2732</v>
      </c>
      <c r="I603" s="30" t="s">
        <v>2015</v>
      </c>
      <c r="J603" s="30" t="s">
        <v>2015</v>
      </c>
      <c r="K603" s="30" t="s">
        <v>2018</v>
      </c>
      <c r="L603" s="30" t="s">
        <v>2017</v>
      </c>
      <c r="M603" s="30" t="s">
        <v>2018</v>
      </c>
      <c r="N603" s="30" t="s">
        <v>2018</v>
      </c>
      <c r="O603" s="30" t="s">
        <v>2015</v>
      </c>
      <c r="P603" s="32">
        <v>1652</v>
      </c>
      <c r="Q603" s="32">
        <v>1072</v>
      </c>
      <c r="R603" s="32">
        <v>236</v>
      </c>
      <c r="S603" s="32">
        <v>140</v>
      </c>
      <c r="T603" s="32">
        <v>67</v>
      </c>
      <c r="U603" s="32">
        <v>268</v>
      </c>
      <c r="V603" s="32">
        <v>216</v>
      </c>
      <c r="W603" s="32">
        <v>144</v>
      </c>
      <c r="X603" s="32">
        <v>504</v>
      </c>
      <c r="Y603" s="32">
        <v>356</v>
      </c>
      <c r="Z603" s="32">
        <v>211</v>
      </c>
      <c r="AA603" s="32">
        <v>668</v>
      </c>
      <c r="AB603" s="32">
        <v>397</v>
      </c>
      <c r="AC603" s="32">
        <v>190</v>
      </c>
      <c r="AD603" s="32">
        <v>309</v>
      </c>
      <c r="AE603" s="32">
        <v>249</v>
      </c>
      <c r="AF603" s="32">
        <v>165</v>
      </c>
      <c r="AG603" s="32">
        <v>977</v>
      </c>
      <c r="AH603" s="32">
        <v>646</v>
      </c>
      <c r="AI603" s="32">
        <v>355</v>
      </c>
      <c r="AJ603" s="32">
        <v>977</v>
      </c>
      <c r="AK603" s="32">
        <v>1583</v>
      </c>
      <c r="AL603" s="32">
        <v>61.7</v>
      </c>
    </row>
    <row r="604" spans="1:38" ht="13.5" customHeight="1">
      <c r="A604" s="30" t="s">
        <v>2272</v>
      </c>
      <c r="B604" s="30" t="s">
        <v>2273</v>
      </c>
      <c r="C604" s="30" t="s">
        <v>235</v>
      </c>
      <c r="D604" s="30" t="s">
        <v>2012</v>
      </c>
      <c r="E604" s="30" t="s">
        <v>2048</v>
      </c>
      <c r="F604" s="30" t="s">
        <v>2049</v>
      </c>
      <c r="G604" s="30"/>
      <c r="H604" s="30" t="s">
        <v>2733</v>
      </c>
      <c r="I604" s="30" t="s">
        <v>2015</v>
      </c>
      <c r="J604" s="30" t="s">
        <v>2015</v>
      </c>
      <c r="K604" s="30" t="s">
        <v>2018</v>
      </c>
      <c r="L604" s="30" t="s">
        <v>2017</v>
      </c>
      <c r="M604" s="30" t="s">
        <v>2018</v>
      </c>
      <c r="N604" s="30" t="s">
        <v>2018</v>
      </c>
      <c r="O604" s="30" t="s">
        <v>2015</v>
      </c>
      <c r="P604" s="32">
        <v>2353</v>
      </c>
      <c r="Q604" s="32">
        <v>1129</v>
      </c>
      <c r="R604" s="32">
        <v>216</v>
      </c>
      <c r="S604" s="32">
        <v>124</v>
      </c>
      <c r="T604" s="32">
        <v>73</v>
      </c>
      <c r="U604" s="32">
        <v>338</v>
      </c>
      <c r="V604" s="32">
        <v>252</v>
      </c>
      <c r="W604" s="32">
        <v>162</v>
      </c>
      <c r="X604" s="32">
        <v>554</v>
      </c>
      <c r="Y604" s="32">
        <v>376</v>
      </c>
      <c r="Z604" s="32">
        <v>235</v>
      </c>
      <c r="AA604" s="32">
        <v>626</v>
      </c>
      <c r="AB604" s="32">
        <v>358</v>
      </c>
      <c r="AC604" s="32">
        <v>211</v>
      </c>
      <c r="AD604" s="32">
        <v>422</v>
      </c>
      <c r="AE604" s="32">
        <v>312</v>
      </c>
      <c r="AF604" s="32">
        <v>200</v>
      </c>
      <c r="AG604" s="32">
        <v>1048</v>
      </c>
      <c r="AH604" s="32">
        <v>670</v>
      </c>
      <c r="AI604" s="32">
        <v>411</v>
      </c>
      <c r="AJ604" s="32">
        <v>1048</v>
      </c>
      <c r="AK604" s="32">
        <v>1967</v>
      </c>
      <c r="AL604" s="32">
        <v>53.3</v>
      </c>
    </row>
    <row r="605" spans="1:38" ht="13.5" customHeight="1">
      <c r="A605" s="30" t="s">
        <v>2272</v>
      </c>
      <c r="B605" s="30" t="s">
        <v>2273</v>
      </c>
      <c r="C605" s="30" t="s">
        <v>235</v>
      </c>
      <c r="D605" s="30" t="s">
        <v>2012</v>
      </c>
      <c r="E605" s="30" t="s">
        <v>2048</v>
      </c>
      <c r="F605" s="30" t="s">
        <v>2049</v>
      </c>
      <c r="G605" s="30"/>
      <c r="H605" s="30" t="s">
        <v>2734</v>
      </c>
      <c r="I605" s="30" t="s">
        <v>2015</v>
      </c>
      <c r="J605" s="30" t="s">
        <v>2015</v>
      </c>
      <c r="K605" s="30" t="s">
        <v>2018</v>
      </c>
      <c r="L605" s="30" t="s">
        <v>2017</v>
      </c>
      <c r="M605" s="30" t="s">
        <v>2018</v>
      </c>
      <c r="N605" s="30" t="s">
        <v>2018</v>
      </c>
      <c r="O605" s="30" t="s">
        <v>2015</v>
      </c>
      <c r="P605" s="32">
        <v>1160</v>
      </c>
      <c r="Q605" s="32">
        <v>576</v>
      </c>
      <c r="R605" s="32">
        <v>121</v>
      </c>
      <c r="S605" s="32">
        <v>58</v>
      </c>
      <c r="T605" s="32">
        <v>30</v>
      </c>
      <c r="U605" s="32">
        <v>76</v>
      </c>
      <c r="V605" s="32">
        <v>40</v>
      </c>
      <c r="W605" s="32">
        <v>21</v>
      </c>
      <c r="X605" s="32">
        <v>197</v>
      </c>
      <c r="Y605" s="32">
        <v>98</v>
      </c>
      <c r="Z605" s="32">
        <v>51</v>
      </c>
      <c r="AA605" s="32">
        <v>363</v>
      </c>
      <c r="AB605" s="32">
        <v>174</v>
      </c>
      <c r="AC605" s="32">
        <v>90</v>
      </c>
      <c r="AD605" s="32">
        <v>91</v>
      </c>
      <c r="AE605" s="32">
        <v>48</v>
      </c>
      <c r="AF605" s="32">
        <v>25</v>
      </c>
      <c r="AG605" s="32">
        <v>454</v>
      </c>
      <c r="AH605" s="32">
        <v>222</v>
      </c>
      <c r="AI605" s="32">
        <v>115</v>
      </c>
      <c r="AJ605" s="32">
        <v>454</v>
      </c>
      <c r="AK605" s="32">
        <v>935</v>
      </c>
      <c r="AL605" s="32">
        <v>48.6</v>
      </c>
    </row>
    <row r="606" spans="1:38" ht="13.5" customHeight="1">
      <c r="A606" s="30" t="s">
        <v>2272</v>
      </c>
      <c r="B606" s="30" t="s">
        <v>2273</v>
      </c>
      <c r="C606" s="30" t="s">
        <v>235</v>
      </c>
      <c r="D606" s="30" t="s">
        <v>2012</v>
      </c>
      <c r="E606" s="30" t="s">
        <v>2048</v>
      </c>
      <c r="F606" s="30" t="s">
        <v>2049</v>
      </c>
      <c r="G606" s="30"/>
      <c r="H606" s="30" t="s">
        <v>2735</v>
      </c>
      <c r="I606" s="30" t="s">
        <v>2015</v>
      </c>
      <c r="J606" s="30" t="s">
        <v>2015</v>
      </c>
      <c r="K606" s="30" t="s">
        <v>2018</v>
      </c>
      <c r="L606" s="30" t="s">
        <v>2017</v>
      </c>
      <c r="M606" s="30" t="s">
        <v>2018</v>
      </c>
      <c r="N606" s="30" t="s">
        <v>2018</v>
      </c>
      <c r="O606" s="30" t="s">
        <v>2015</v>
      </c>
      <c r="P606" s="32">
        <v>494</v>
      </c>
      <c r="Q606" s="32">
        <v>239</v>
      </c>
      <c r="R606" s="32">
        <v>49</v>
      </c>
      <c r="S606" s="32">
        <v>18</v>
      </c>
      <c r="T606" s="32">
        <v>9</v>
      </c>
      <c r="U606" s="32">
        <v>34</v>
      </c>
      <c r="V606" s="32">
        <v>20</v>
      </c>
      <c r="W606" s="32">
        <v>9</v>
      </c>
      <c r="X606" s="32">
        <v>83</v>
      </c>
      <c r="Y606" s="32">
        <v>38</v>
      </c>
      <c r="Z606" s="32">
        <v>18</v>
      </c>
      <c r="AA606" s="32">
        <v>147</v>
      </c>
      <c r="AB606" s="32">
        <v>54</v>
      </c>
      <c r="AC606" s="32">
        <v>27</v>
      </c>
      <c r="AD606" s="32">
        <v>41</v>
      </c>
      <c r="AE606" s="32">
        <v>24</v>
      </c>
      <c r="AF606" s="32">
        <v>11</v>
      </c>
      <c r="AG606" s="32">
        <v>188</v>
      </c>
      <c r="AH606" s="32">
        <v>78</v>
      </c>
      <c r="AI606" s="32">
        <v>38</v>
      </c>
      <c r="AJ606" s="32">
        <v>188</v>
      </c>
      <c r="AK606" s="32">
        <v>518</v>
      </c>
      <c r="AL606" s="32">
        <v>36.299999999999997</v>
      </c>
    </row>
    <row r="607" spans="1:38" ht="13.5" customHeight="1">
      <c r="A607" s="30" t="s">
        <v>2272</v>
      </c>
      <c r="B607" s="30" t="s">
        <v>2273</v>
      </c>
      <c r="C607" s="30" t="s">
        <v>235</v>
      </c>
      <c r="D607" s="30" t="s">
        <v>2012</v>
      </c>
      <c r="E607" s="30" t="s">
        <v>2048</v>
      </c>
      <c r="F607" s="30" t="s">
        <v>2049</v>
      </c>
      <c r="G607" s="30"/>
      <c r="H607" s="30" t="s">
        <v>2736</v>
      </c>
      <c r="I607" s="30" t="s">
        <v>2015</v>
      </c>
      <c r="J607" s="30" t="s">
        <v>2015</v>
      </c>
      <c r="K607" s="30" t="s">
        <v>2018</v>
      </c>
      <c r="L607" s="30" t="s">
        <v>2017</v>
      </c>
      <c r="M607" s="30" t="s">
        <v>2018</v>
      </c>
      <c r="N607" s="30" t="s">
        <v>2018</v>
      </c>
      <c r="O607" s="30" t="s">
        <v>2015</v>
      </c>
      <c r="P607" s="32">
        <v>150</v>
      </c>
      <c r="Q607" s="32">
        <v>176</v>
      </c>
      <c r="R607" s="32">
        <v>24</v>
      </c>
      <c r="S607" s="32">
        <v>6</v>
      </c>
      <c r="T607" s="32">
        <v>1</v>
      </c>
      <c r="U607" s="32">
        <v>15</v>
      </c>
      <c r="V607" s="32">
        <v>10</v>
      </c>
      <c r="W607" s="32">
        <v>6</v>
      </c>
      <c r="X607" s="32">
        <v>39</v>
      </c>
      <c r="Y607" s="32">
        <v>16</v>
      </c>
      <c r="Z607" s="32">
        <v>7</v>
      </c>
      <c r="AA607" s="32">
        <v>62</v>
      </c>
      <c r="AB607" s="32">
        <v>16</v>
      </c>
      <c r="AC607" s="32">
        <v>3</v>
      </c>
      <c r="AD607" s="32">
        <v>17</v>
      </c>
      <c r="AE607" s="32">
        <v>11</v>
      </c>
      <c r="AF607" s="32">
        <v>7</v>
      </c>
      <c r="AG607" s="32">
        <v>79</v>
      </c>
      <c r="AH607" s="32">
        <v>27</v>
      </c>
      <c r="AI607" s="32">
        <v>10</v>
      </c>
      <c r="AJ607" s="32">
        <v>79</v>
      </c>
      <c r="AK607" s="32">
        <v>165</v>
      </c>
      <c r="AL607" s="32">
        <v>47.9</v>
      </c>
    </row>
    <row r="608" spans="1:38" ht="13.5" customHeight="1">
      <c r="A608" s="30" t="s">
        <v>2272</v>
      </c>
      <c r="B608" s="30" t="s">
        <v>2273</v>
      </c>
      <c r="C608" s="30" t="s">
        <v>235</v>
      </c>
      <c r="D608" s="30" t="s">
        <v>2012</v>
      </c>
      <c r="E608" s="30" t="s">
        <v>2048</v>
      </c>
      <c r="F608" s="30" t="s">
        <v>2049</v>
      </c>
      <c r="G608" s="30"/>
      <c r="H608" s="30" t="s">
        <v>2737</v>
      </c>
      <c r="I608" s="30" t="s">
        <v>2015</v>
      </c>
      <c r="J608" s="30" t="s">
        <v>2015</v>
      </c>
      <c r="K608" s="30" t="s">
        <v>2018</v>
      </c>
      <c r="L608" s="30" t="s">
        <v>2017</v>
      </c>
      <c r="M608" s="30" t="s">
        <v>2018</v>
      </c>
      <c r="N608" s="30" t="s">
        <v>2018</v>
      </c>
      <c r="O608" s="30" t="s">
        <v>2015</v>
      </c>
      <c r="P608" s="32">
        <v>1279</v>
      </c>
      <c r="Q608" s="32">
        <v>866</v>
      </c>
      <c r="R608" s="32">
        <v>194</v>
      </c>
      <c r="S608" s="32">
        <v>104</v>
      </c>
      <c r="T608" s="32">
        <v>51</v>
      </c>
      <c r="U608" s="32">
        <v>160</v>
      </c>
      <c r="V608" s="32">
        <v>126</v>
      </c>
      <c r="W608" s="32">
        <v>85</v>
      </c>
      <c r="X608" s="32">
        <v>354</v>
      </c>
      <c r="Y608" s="32">
        <v>230</v>
      </c>
      <c r="Z608" s="32">
        <v>136</v>
      </c>
      <c r="AA608" s="32">
        <v>543</v>
      </c>
      <c r="AB608" s="32">
        <v>291</v>
      </c>
      <c r="AC608" s="32">
        <v>143</v>
      </c>
      <c r="AD608" s="32">
        <v>208</v>
      </c>
      <c r="AE608" s="32">
        <v>164</v>
      </c>
      <c r="AF608" s="32">
        <v>111</v>
      </c>
      <c r="AG608" s="32">
        <v>751</v>
      </c>
      <c r="AH608" s="32">
        <v>455</v>
      </c>
      <c r="AI608" s="32">
        <v>254</v>
      </c>
      <c r="AJ608" s="32">
        <v>751</v>
      </c>
      <c r="AK608" s="32">
        <v>1222</v>
      </c>
      <c r="AL608" s="32">
        <v>61.5</v>
      </c>
    </row>
    <row r="609" spans="1:38" ht="13.5" customHeight="1">
      <c r="A609" s="30" t="s">
        <v>2272</v>
      </c>
      <c r="B609" s="30" t="s">
        <v>2273</v>
      </c>
      <c r="C609" s="30" t="s">
        <v>235</v>
      </c>
      <c r="D609" s="30" t="s">
        <v>2012</v>
      </c>
      <c r="E609" s="30" t="s">
        <v>2048</v>
      </c>
      <c r="F609" s="30" t="s">
        <v>2049</v>
      </c>
      <c r="G609" s="30"/>
      <c r="H609" s="30" t="s">
        <v>2738</v>
      </c>
      <c r="I609" s="30" t="s">
        <v>2015</v>
      </c>
      <c r="J609" s="30" t="s">
        <v>2015</v>
      </c>
      <c r="K609" s="30" t="s">
        <v>2018</v>
      </c>
      <c r="L609" s="30" t="s">
        <v>2017</v>
      </c>
      <c r="M609" s="30" t="s">
        <v>2018</v>
      </c>
      <c r="N609" s="30" t="s">
        <v>2018</v>
      </c>
      <c r="O609" s="30" t="s">
        <v>2015</v>
      </c>
      <c r="P609" s="32">
        <v>131</v>
      </c>
      <c r="Q609" s="32">
        <v>224</v>
      </c>
      <c r="R609" s="32">
        <v>0</v>
      </c>
      <c r="S609" s="32">
        <v>0</v>
      </c>
      <c r="T609" s="32">
        <v>0</v>
      </c>
      <c r="U609" s="32">
        <v>25</v>
      </c>
      <c r="V609" s="32">
        <v>13</v>
      </c>
      <c r="W609" s="32">
        <v>7</v>
      </c>
      <c r="X609" s="32">
        <v>25</v>
      </c>
      <c r="Y609" s="32">
        <v>13</v>
      </c>
      <c r="Z609" s="32">
        <v>7</v>
      </c>
      <c r="AA609" s="32">
        <v>0</v>
      </c>
      <c r="AB609" s="32">
        <v>0</v>
      </c>
      <c r="AC609" s="32">
        <v>0</v>
      </c>
      <c r="AD609" s="32">
        <v>28</v>
      </c>
      <c r="AE609" s="32">
        <v>14</v>
      </c>
      <c r="AF609" s="32">
        <v>8</v>
      </c>
      <c r="AG609" s="32">
        <v>28</v>
      </c>
      <c r="AH609" s="32">
        <v>14</v>
      </c>
      <c r="AI609" s="32">
        <v>8</v>
      </c>
      <c r="AJ609" s="32">
        <v>28</v>
      </c>
      <c r="AK609" s="32">
        <v>131</v>
      </c>
      <c r="AL609" s="32">
        <v>21.4</v>
      </c>
    </row>
    <row r="610" spans="1:38" ht="13.5" customHeight="1">
      <c r="A610" s="30" t="s">
        <v>2272</v>
      </c>
      <c r="B610" s="30" t="s">
        <v>2273</v>
      </c>
      <c r="C610" s="30" t="s">
        <v>235</v>
      </c>
      <c r="D610" s="30" t="s">
        <v>2012</v>
      </c>
      <c r="E610" s="30" t="s">
        <v>2048</v>
      </c>
      <c r="F610" s="30" t="s">
        <v>2049</v>
      </c>
      <c r="G610" s="30"/>
      <c r="H610" s="30" t="s">
        <v>2739</v>
      </c>
      <c r="I610" s="30" t="s">
        <v>2015</v>
      </c>
      <c r="J610" s="30" t="s">
        <v>2015</v>
      </c>
      <c r="K610" s="30" t="s">
        <v>2018</v>
      </c>
      <c r="L610" s="30" t="s">
        <v>2017</v>
      </c>
      <c r="M610" s="30" t="s">
        <v>2018</v>
      </c>
      <c r="N610" s="30" t="s">
        <v>2018</v>
      </c>
      <c r="O610" s="30" t="s">
        <v>2015</v>
      </c>
      <c r="P610" s="32">
        <v>547</v>
      </c>
      <c r="Q610" s="32">
        <v>1044</v>
      </c>
      <c r="R610" s="32">
        <v>79</v>
      </c>
      <c r="S610" s="32">
        <v>49</v>
      </c>
      <c r="T610" s="32">
        <v>27</v>
      </c>
      <c r="U610" s="32">
        <v>32</v>
      </c>
      <c r="V610" s="32">
        <v>24</v>
      </c>
      <c r="W610" s="32">
        <v>21</v>
      </c>
      <c r="X610" s="32">
        <v>111</v>
      </c>
      <c r="Y610" s="32">
        <v>73</v>
      </c>
      <c r="Z610" s="32">
        <v>48</v>
      </c>
      <c r="AA610" s="32">
        <v>234</v>
      </c>
      <c r="AB610" s="32">
        <v>149</v>
      </c>
      <c r="AC610" s="32">
        <v>82</v>
      </c>
      <c r="AD610" s="32">
        <v>41</v>
      </c>
      <c r="AE610" s="32">
        <v>30</v>
      </c>
      <c r="AF610" s="32">
        <v>27</v>
      </c>
      <c r="AG610" s="32">
        <v>275</v>
      </c>
      <c r="AH610" s="32">
        <v>179</v>
      </c>
      <c r="AI610" s="32">
        <v>109</v>
      </c>
      <c r="AJ610" s="32">
        <v>275</v>
      </c>
      <c r="AK610" s="32">
        <v>550</v>
      </c>
      <c r="AL610" s="32">
        <v>50</v>
      </c>
    </row>
    <row r="611" spans="1:38" ht="13.5" customHeight="1">
      <c r="A611" s="30" t="s">
        <v>2272</v>
      </c>
      <c r="B611" s="30" t="s">
        <v>2273</v>
      </c>
      <c r="C611" s="30" t="s">
        <v>235</v>
      </c>
      <c r="D611" s="30" t="s">
        <v>2012</v>
      </c>
      <c r="E611" s="30" t="s">
        <v>2048</v>
      </c>
      <c r="F611" s="30" t="s">
        <v>2049</v>
      </c>
      <c r="G611" s="30"/>
      <c r="H611" s="30" t="s">
        <v>2740</v>
      </c>
      <c r="I611" s="30" t="s">
        <v>2015</v>
      </c>
      <c r="J611" s="30" t="s">
        <v>2015</v>
      </c>
      <c r="K611" s="30" t="s">
        <v>2018</v>
      </c>
      <c r="L611" s="30" t="s">
        <v>2017</v>
      </c>
      <c r="M611" s="30" t="s">
        <v>2018</v>
      </c>
      <c r="N611" s="30" t="s">
        <v>2018</v>
      </c>
      <c r="O611" s="30" t="s">
        <v>2015</v>
      </c>
      <c r="P611" s="32">
        <v>676</v>
      </c>
      <c r="Q611" s="32">
        <v>261</v>
      </c>
      <c r="R611" s="32">
        <v>106</v>
      </c>
      <c r="S611" s="32">
        <v>57</v>
      </c>
      <c r="T611" s="32">
        <v>31</v>
      </c>
      <c r="U611" s="32">
        <v>59</v>
      </c>
      <c r="V611" s="32">
        <v>50</v>
      </c>
      <c r="W611" s="32">
        <v>40</v>
      </c>
      <c r="X611" s="32">
        <v>165</v>
      </c>
      <c r="Y611" s="32">
        <v>107</v>
      </c>
      <c r="Z611" s="32">
        <v>71</v>
      </c>
      <c r="AA611" s="32">
        <v>371</v>
      </c>
      <c r="AB611" s="32">
        <v>200</v>
      </c>
      <c r="AC611" s="32">
        <v>109</v>
      </c>
      <c r="AD611" s="32">
        <v>71</v>
      </c>
      <c r="AE611" s="32">
        <v>60</v>
      </c>
      <c r="AF611" s="32">
        <v>48</v>
      </c>
      <c r="AG611" s="32">
        <v>442</v>
      </c>
      <c r="AH611" s="32">
        <v>260</v>
      </c>
      <c r="AI611" s="32">
        <v>157</v>
      </c>
      <c r="AJ611" s="32">
        <v>442</v>
      </c>
      <c r="AK611" s="32">
        <v>686</v>
      </c>
      <c r="AL611" s="32">
        <v>64.400000000000006</v>
      </c>
    </row>
    <row r="612" spans="1:38" ht="13.5" customHeight="1">
      <c r="A612" s="30" t="s">
        <v>2272</v>
      </c>
      <c r="B612" s="30" t="s">
        <v>2273</v>
      </c>
      <c r="C612" s="30" t="s">
        <v>235</v>
      </c>
      <c r="D612" s="30" t="s">
        <v>2012</v>
      </c>
      <c r="E612" s="30" t="s">
        <v>2048</v>
      </c>
      <c r="F612" s="30" t="s">
        <v>2049</v>
      </c>
      <c r="G612" s="30"/>
      <c r="H612" s="30" t="s">
        <v>2741</v>
      </c>
      <c r="I612" s="30" t="s">
        <v>2015</v>
      </c>
      <c r="J612" s="30" t="s">
        <v>2015</v>
      </c>
      <c r="K612" s="30" t="s">
        <v>2018</v>
      </c>
      <c r="L612" s="30" t="s">
        <v>2017</v>
      </c>
      <c r="M612" s="30" t="s">
        <v>2018</v>
      </c>
      <c r="N612" s="30" t="s">
        <v>2018</v>
      </c>
      <c r="O612" s="30" t="s">
        <v>2015</v>
      </c>
      <c r="P612" s="32">
        <v>640</v>
      </c>
      <c r="Q612" s="32">
        <v>256</v>
      </c>
      <c r="R612" s="32">
        <v>109</v>
      </c>
      <c r="S612" s="32">
        <v>72</v>
      </c>
      <c r="T612" s="32">
        <v>52</v>
      </c>
      <c r="U612" s="32">
        <v>53</v>
      </c>
      <c r="V612" s="32">
        <v>45</v>
      </c>
      <c r="W612" s="32">
        <v>34</v>
      </c>
      <c r="X612" s="32">
        <v>162</v>
      </c>
      <c r="Y612" s="32">
        <v>117</v>
      </c>
      <c r="Z612" s="32">
        <v>86</v>
      </c>
      <c r="AA612" s="32">
        <v>403</v>
      </c>
      <c r="AB612" s="32">
        <v>266</v>
      </c>
      <c r="AC612" s="32">
        <v>192</v>
      </c>
      <c r="AD612" s="32">
        <v>58</v>
      </c>
      <c r="AE612" s="32">
        <v>50</v>
      </c>
      <c r="AF612" s="32">
        <v>37</v>
      </c>
      <c r="AG612" s="32">
        <v>461</v>
      </c>
      <c r="AH612" s="32">
        <v>316</v>
      </c>
      <c r="AI612" s="32">
        <v>229</v>
      </c>
      <c r="AJ612" s="32">
        <v>461</v>
      </c>
      <c r="AK612" s="32">
        <v>624</v>
      </c>
      <c r="AL612" s="32">
        <v>73.900000000000006</v>
      </c>
    </row>
    <row r="613" spans="1:38" ht="13.5" customHeight="1">
      <c r="A613" s="30" t="s">
        <v>2272</v>
      </c>
      <c r="B613" s="30" t="s">
        <v>2273</v>
      </c>
      <c r="C613" s="30" t="s">
        <v>235</v>
      </c>
      <c r="D613" s="30" t="s">
        <v>2012</v>
      </c>
      <c r="E613" s="30" t="s">
        <v>2048</v>
      </c>
      <c r="F613" s="30" t="s">
        <v>2049</v>
      </c>
      <c r="G613" s="30"/>
      <c r="H613" s="30" t="s">
        <v>2742</v>
      </c>
      <c r="I613" s="30" t="s">
        <v>2015</v>
      </c>
      <c r="J613" s="30" t="s">
        <v>2015</v>
      </c>
      <c r="K613" s="30" t="s">
        <v>2018</v>
      </c>
      <c r="L613" s="30" t="s">
        <v>2017</v>
      </c>
      <c r="M613" s="30" t="s">
        <v>2018</v>
      </c>
      <c r="N613" s="30" t="s">
        <v>2018</v>
      </c>
      <c r="O613" s="30" t="s">
        <v>2015</v>
      </c>
      <c r="P613" s="32">
        <v>879</v>
      </c>
      <c r="Q613" s="32">
        <v>539</v>
      </c>
      <c r="R613" s="32">
        <v>143</v>
      </c>
      <c r="S613" s="32">
        <v>87</v>
      </c>
      <c r="T613" s="32">
        <v>37</v>
      </c>
      <c r="U613" s="32">
        <v>90</v>
      </c>
      <c r="V613" s="32">
        <v>61</v>
      </c>
      <c r="W613" s="32">
        <v>47</v>
      </c>
      <c r="X613" s="32">
        <v>233</v>
      </c>
      <c r="Y613" s="32">
        <v>148</v>
      </c>
      <c r="Z613" s="32">
        <v>84</v>
      </c>
      <c r="AA613" s="32">
        <v>400</v>
      </c>
      <c r="AB613" s="32">
        <v>244</v>
      </c>
      <c r="AC613" s="32">
        <v>104</v>
      </c>
      <c r="AD613" s="32">
        <v>99</v>
      </c>
      <c r="AE613" s="32">
        <v>67</v>
      </c>
      <c r="AF613" s="32">
        <v>52</v>
      </c>
      <c r="AG613" s="32">
        <v>499</v>
      </c>
      <c r="AH613" s="32">
        <v>311</v>
      </c>
      <c r="AI613" s="32">
        <v>156</v>
      </c>
      <c r="AJ613" s="32">
        <v>499</v>
      </c>
      <c r="AK613" s="32">
        <v>879</v>
      </c>
      <c r="AL613" s="32">
        <v>56.8</v>
      </c>
    </row>
    <row r="614" spans="1:38" ht="13.5" customHeight="1">
      <c r="A614" s="30" t="s">
        <v>2272</v>
      </c>
      <c r="B614" s="30" t="s">
        <v>2273</v>
      </c>
      <c r="C614" s="30" t="s">
        <v>235</v>
      </c>
      <c r="D614" s="30" t="s">
        <v>2012</v>
      </c>
      <c r="E614" s="30" t="s">
        <v>2048</v>
      </c>
      <c r="F614" s="30" t="s">
        <v>2049</v>
      </c>
      <c r="G614" s="30"/>
      <c r="H614" s="30" t="s">
        <v>2743</v>
      </c>
      <c r="I614" s="30" t="s">
        <v>2015</v>
      </c>
      <c r="J614" s="30" t="s">
        <v>2015</v>
      </c>
      <c r="K614" s="30" t="s">
        <v>2018</v>
      </c>
      <c r="L614" s="30" t="s">
        <v>2017</v>
      </c>
      <c r="M614" s="30" t="s">
        <v>2018</v>
      </c>
      <c r="N614" s="30" t="s">
        <v>2018</v>
      </c>
      <c r="O614" s="30" t="s">
        <v>2015</v>
      </c>
      <c r="P614" s="32">
        <v>847</v>
      </c>
      <c r="Q614" s="32">
        <v>529</v>
      </c>
      <c r="R614" s="32">
        <v>105</v>
      </c>
      <c r="S614" s="32">
        <v>57</v>
      </c>
      <c r="T614" s="32">
        <v>25</v>
      </c>
      <c r="U614" s="32">
        <v>67</v>
      </c>
      <c r="V614" s="32">
        <v>61</v>
      </c>
      <c r="W614" s="32">
        <v>33</v>
      </c>
      <c r="X614" s="32">
        <v>172</v>
      </c>
      <c r="Y614" s="32">
        <v>118</v>
      </c>
      <c r="Z614" s="32">
        <v>58</v>
      </c>
      <c r="AA614" s="32">
        <v>312</v>
      </c>
      <c r="AB614" s="32">
        <v>169</v>
      </c>
      <c r="AC614" s="32">
        <v>74</v>
      </c>
      <c r="AD614" s="32">
        <v>85</v>
      </c>
      <c r="AE614" s="32">
        <v>77</v>
      </c>
      <c r="AF614" s="32">
        <v>41</v>
      </c>
      <c r="AG614" s="32">
        <v>397</v>
      </c>
      <c r="AH614" s="32">
        <v>246</v>
      </c>
      <c r="AI614" s="32">
        <v>115</v>
      </c>
      <c r="AJ614" s="32">
        <v>397</v>
      </c>
      <c r="AK614" s="32">
        <v>803</v>
      </c>
      <c r="AL614" s="32">
        <v>49.4</v>
      </c>
    </row>
    <row r="615" spans="1:38" ht="13.5" customHeight="1">
      <c r="A615" s="30" t="s">
        <v>2272</v>
      </c>
      <c r="B615" s="30" t="s">
        <v>2273</v>
      </c>
      <c r="C615" s="30" t="s">
        <v>235</v>
      </c>
      <c r="D615" s="30" t="s">
        <v>2012</v>
      </c>
      <c r="E615" s="30" t="s">
        <v>2048</v>
      </c>
      <c r="F615" s="30" t="s">
        <v>2049</v>
      </c>
      <c r="G615" s="30"/>
      <c r="H615" s="30" t="s">
        <v>2744</v>
      </c>
      <c r="I615" s="30" t="s">
        <v>2015</v>
      </c>
      <c r="J615" s="30" t="s">
        <v>2015</v>
      </c>
      <c r="K615" s="30" t="s">
        <v>2018</v>
      </c>
      <c r="L615" s="30" t="s">
        <v>2017</v>
      </c>
      <c r="M615" s="30" t="s">
        <v>2018</v>
      </c>
      <c r="N615" s="30" t="s">
        <v>2018</v>
      </c>
      <c r="O615" s="30" t="s">
        <v>2015</v>
      </c>
      <c r="P615" s="32">
        <v>892</v>
      </c>
      <c r="Q615" s="32">
        <v>488</v>
      </c>
      <c r="R615" s="32">
        <v>94</v>
      </c>
      <c r="S615" s="32">
        <v>40</v>
      </c>
      <c r="T615" s="32">
        <v>22</v>
      </c>
      <c r="U615" s="32">
        <v>101</v>
      </c>
      <c r="V615" s="32">
        <v>84</v>
      </c>
      <c r="W615" s="32">
        <v>60</v>
      </c>
      <c r="X615" s="32">
        <v>195</v>
      </c>
      <c r="Y615" s="32">
        <v>124</v>
      </c>
      <c r="Z615" s="32">
        <v>82</v>
      </c>
      <c r="AA615" s="32">
        <v>282</v>
      </c>
      <c r="AB615" s="32">
        <v>120</v>
      </c>
      <c r="AC615" s="32">
        <v>66</v>
      </c>
      <c r="AD615" s="32">
        <v>121</v>
      </c>
      <c r="AE615" s="32">
        <v>101</v>
      </c>
      <c r="AF615" s="32">
        <v>72</v>
      </c>
      <c r="AG615" s="32">
        <v>403</v>
      </c>
      <c r="AH615" s="32">
        <v>221</v>
      </c>
      <c r="AI615" s="32">
        <v>138</v>
      </c>
      <c r="AJ615" s="32">
        <v>403</v>
      </c>
      <c r="AK615" s="32">
        <v>892</v>
      </c>
      <c r="AL615" s="32">
        <v>45.2</v>
      </c>
    </row>
    <row r="616" spans="1:38" ht="13.5" customHeight="1">
      <c r="A616" s="30" t="s">
        <v>2272</v>
      </c>
      <c r="B616" s="30" t="s">
        <v>2273</v>
      </c>
      <c r="C616" s="30" t="s">
        <v>235</v>
      </c>
      <c r="D616" s="30" t="s">
        <v>2012</v>
      </c>
      <c r="E616" s="30" t="s">
        <v>2048</v>
      </c>
      <c r="F616" s="30" t="s">
        <v>2049</v>
      </c>
      <c r="G616" s="30"/>
      <c r="H616" s="30" t="s">
        <v>2745</v>
      </c>
      <c r="I616" s="30" t="s">
        <v>2015</v>
      </c>
      <c r="J616" s="30" t="s">
        <v>2015</v>
      </c>
      <c r="K616" s="30" t="s">
        <v>2018</v>
      </c>
      <c r="L616" s="30" t="s">
        <v>2017</v>
      </c>
      <c r="M616" s="30" t="s">
        <v>2018</v>
      </c>
      <c r="N616" s="30" t="s">
        <v>2018</v>
      </c>
      <c r="O616" s="30" t="s">
        <v>2015</v>
      </c>
      <c r="P616" s="32">
        <v>525</v>
      </c>
      <c r="Q616" s="32">
        <v>329</v>
      </c>
      <c r="R616" s="32">
        <v>58</v>
      </c>
      <c r="S616" s="32">
        <v>37</v>
      </c>
      <c r="T616" s="32">
        <v>8</v>
      </c>
      <c r="U616" s="32">
        <v>38</v>
      </c>
      <c r="V616" s="32">
        <v>30</v>
      </c>
      <c r="W616" s="32">
        <v>24</v>
      </c>
      <c r="X616" s="32">
        <v>96</v>
      </c>
      <c r="Y616" s="32">
        <v>67</v>
      </c>
      <c r="Z616" s="32">
        <v>32</v>
      </c>
      <c r="AA616" s="32">
        <v>174</v>
      </c>
      <c r="AB616" s="32">
        <v>111</v>
      </c>
      <c r="AC616" s="32">
        <v>24</v>
      </c>
      <c r="AD616" s="32">
        <v>46</v>
      </c>
      <c r="AE616" s="32">
        <v>36</v>
      </c>
      <c r="AF616" s="32">
        <v>29</v>
      </c>
      <c r="AG616" s="32">
        <v>220</v>
      </c>
      <c r="AH616" s="32">
        <v>147</v>
      </c>
      <c r="AI616" s="32">
        <v>53</v>
      </c>
      <c r="AJ616" s="32">
        <v>220</v>
      </c>
      <c r="AK616" s="32">
        <v>578</v>
      </c>
      <c r="AL616" s="32">
        <v>38.1</v>
      </c>
    </row>
    <row r="617" spans="1:38" ht="13.5" customHeight="1">
      <c r="A617" s="30" t="s">
        <v>2272</v>
      </c>
      <c r="B617" s="30" t="s">
        <v>2273</v>
      </c>
      <c r="C617" s="30" t="s">
        <v>235</v>
      </c>
      <c r="D617" s="30" t="s">
        <v>2012</v>
      </c>
      <c r="E617" s="30" t="s">
        <v>2048</v>
      </c>
      <c r="F617" s="30" t="s">
        <v>2049</v>
      </c>
      <c r="G617" s="30"/>
      <c r="H617" s="30" t="s">
        <v>2746</v>
      </c>
      <c r="I617" s="30" t="s">
        <v>2015</v>
      </c>
      <c r="J617" s="30" t="s">
        <v>2015</v>
      </c>
      <c r="K617" s="30" t="s">
        <v>2018</v>
      </c>
      <c r="L617" s="30" t="s">
        <v>2017</v>
      </c>
      <c r="M617" s="30" t="s">
        <v>2018</v>
      </c>
      <c r="N617" s="30" t="s">
        <v>2018</v>
      </c>
      <c r="O617" s="30" t="s">
        <v>2015</v>
      </c>
      <c r="P617" s="32">
        <v>264</v>
      </c>
      <c r="Q617" s="32">
        <v>226</v>
      </c>
      <c r="R617" s="32">
        <v>48</v>
      </c>
      <c r="S617" s="32">
        <v>35</v>
      </c>
      <c r="T617" s="32">
        <v>25</v>
      </c>
      <c r="U617" s="32">
        <v>42</v>
      </c>
      <c r="V617" s="32">
        <v>28</v>
      </c>
      <c r="W617" s="32">
        <v>19</v>
      </c>
      <c r="X617" s="32">
        <v>90</v>
      </c>
      <c r="Y617" s="32">
        <v>63</v>
      </c>
      <c r="Z617" s="32">
        <v>44</v>
      </c>
      <c r="AA617" s="32">
        <v>125</v>
      </c>
      <c r="AB617" s="32">
        <v>91</v>
      </c>
      <c r="AC617" s="32">
        <v>65</v>
      </c>
      <c r="AD617" s="32">
        <v>50</v>
      </c>
      <c r="AE617" s="32">
        <v>34</v>
      </c>
      <c r="AF617" s="32">
        <v>23</v>
      </c>
      <c r="AG617" s="32">
        <v>175</v>
      </c>
      <c r="AH617" s="32">
        <v>125</v>
      </c>
      <c r="AI617" s="32">
        <v>88</v>
      </c>
      <c r="AJ617" s="32">
        <v>175</v>
      </c>
      <c r="AK617" s="32">
        <v>298</v>
      </c>
      <c r="AL617" s="32">
        <v>58.7</v>
      </c>
    </row>
    <row r="618" spans="1:38" ht="13.5" customHeight="1">
      <c r="A618" s="30" t="s">
        <v>2272</v>
      </c>
      <c r="B618" s="30" t="s">
        <v>2273</v>
      </c>
      <c r="C618" s="30" t="s">
        <v>235</v>
      </c>
      <c r="D618" s="30" t="s">
        <v>2012</v>
      </c>
      <c r="E618" s="30" t="s">
        <v>2048</v>
      </c>
      <c r="F618" s="30" t="s">
        <v>2049</v>
      </c>
      <c r="G618" s="30"/>
      <c r="H618" s="30" t="s">
        <v>2747</v>
      </c>
      <c r="I618" s="30" t="s">
        <v>2015</v>
      </c>
      <c r="J618" s="30" t="s">
        <v>2015</v>
      </c>
      <c r="K618" s="30" t="s">
        <v>2018</v>
      </c>
      <c r="L618" s="30" t="s">
        <v>2017</v>
      </c>
      <c r="M618" s="30" t="s">
        <v>2018</v>
      </c>
      <c r="N618" s="30" t="s">
        <v>2018</v>
      </c>
      <c r="O618" s="30" t="s">
        <v>2015</v>
      </c>
      <c r="P618" s="32">
        <v>1126</v>
      </c>
      <c r="Q618" s="32">
        <v>775</v>
      </c>
      <c r="R618" s="32">
        <v>179</v>
      </c>
      <c r="S618" s="32">
        <v>84</v>
      </c>
      <c r="T618" s="32">
        <v>43</v>
      </c>
      <c r="U618" s="32">
        <v>111</v>
      </c>
      <c r="V618" s="32">
        <v>97</v>
      </c>
      <c r="W618" s="32">
        <v>64</v>
      </c>
      <c r="X618" s="32">
        <v>290</v>
      </c>
      <c r="Y618" s="32">
        <v>181</v>
      </c>
      <c r="Z618" s="32">
        <v>107</v>
      </c>
      <c r="AA618" s="32">
        <v>519</v>
      </c>
      <c r="AB618" s="32">
        <v>244</v>
      </c>
      <c r="AC618" s="32">
        <v>125</v>
      </c>
      <c r="AD618" s="32">
        <v>144</v>
      </c>
      <c r="AE618" s="32">
        <v>126</v>
      </c>
      <c r="AF618" s="32">
        <v>83</v>
      </c>
      <c r="AG618" s="32">
        <v>663</v>
      </c>
      <c r="AH618" s="32">
        <v>370</v>
      </c>
      <c r="AI618" s="32">
        <v>208</v>
      </c>
      <c r="AJ618" s="32">
        <v>663</v>
      </c>
      <c r="AK618" s="32">
        <v>1126</v>
      </c>
      <c r="AL618" s="32">
        <v>58.9</v>
      </c>
    </row>
    <row r="619" spans="1:38" ht="13.5" customHeight="1">
      <c r="A619" s="30" t="s">
        <v>2272</v>
      </c>
      <c r="B619" s="30" t="s">
        <v>2273</v>
      </c>
      <c r="C619" s="30" t="s">
        <v>235</v>
      </c>
      <c r="D619" s="30" t="s">
        <v>2012</v>
      </c>
      <c r="E619" s="30" t="s">
        <v>2048</v>
      </c>
      <c r="F619" s="30" t="s">
        <v>2049</v>
      </c>
      <c r="G619" s="30"/>
      <c r="H619" s="30" t="s">
        <v>2748</v>
      </c>
      <c r="I619" s="30" t="s">
        <v>2015</v>
      </c>
      <c r="J619" s="30" t="s">
        <v>2015</v>
      </c>
      <c r="K619" s="30" t="s">
        <v>2018</v>
      </c>
      <c r="L619" s="30" t="s">
        <v>2017</v>
      </c>
      <c r="M619" s="30" t="s">
        <v>2018</v>
      </c>
      <c r="N619" s="30" t="s">
        <v>2018</v>
      </c>
      <c r="O619" s="30" t="s">
        <v>2015</v>
      </c>
      <c r="P619" s="32">
        <v>70</v>
      </c>
      <c r="Q619" s="32">
        <v>60</v>
      </c>
      <c r="R619" s="32">
        <v>11</v>
      </c>
      <c r="S619" s="32">
        <v>5</v>
      </c>
      <c r="T619" s="32">
        <v>5</v>
      </c>
      <c r="U619" s="32">
        <v>5</v>
      </c>
      <c r="V619" s="32">
        <v>3</v>
      </c>
      <c r="W619" s="32">
        <v>2</v>
      </c>
      <c r="X619" s="32">
        <v>16</v>
      </c>
      <c r="Y619" s="32">
        <v>8</v>
      </c>
      <c r="Z619" s="32">
        <v>7</v>
      </c>
      <c r="AA619" s="32">
        <v>28</v>
      </c>
      <c r="AB619" s="32">
        <v>13</v>
      </c>
      <c r="AC619" s="32">
        <v>13</v>
      </c>
      <c r="AD619" s="32">
        <v>6</v>
      </c>
      <c r="AE619" s="32">
        <v>3</v>
      </c>
      <c r="AF619" s="32">
        <v>2</v>
      </c>
      <c r="AG619" s="32">
        <v>34</v>
      </c>
      <c r="AH619" s="32">
        <v>16</v>
      </c>
      <c r="AI619" s="32">
        <v>15</v>
      </c>
      <c r="AJ619" s="32">
        <v>34</v>
      </c>
      <c r="AK619" s="32">
        <v>64</v>
      </c>
      <c r="AL619" s="32">
        <v>53.1</v>
      </c>
    </row>
    <row r="620" spans="1:38" ht="13.5" customHeight="1">
      <c r="A620" s="30" t="s">
        <v>2272</v>
      </c>
      <c r="B620" s="30" t="s">
        <v>2273</v>
      </c>
      <c r="C620" s="30" t="s">
        <v>235</v>
      </c>
      <c r="D620" s="30" t="s">
        <v>2012</v>
      </c>
      <c r="E620" s="30" t="s">
        <v>2048</v>
      </c>
      <c r="F620" s="30" t="s">
        <v>2049</v>
      </c>
      <c r="G620" s="30"/>
      <c r="H620" s="30" t="s">
        <v>2749</v>
      </c>
      <c r="I620" s="30" t="s">
        <v>2015</v>
      </c>
      <c r="J620" s="30" t="s">
        <v>2015</v>
      </c>
      <c r="K620" s="30" t="s">
        <v>2018</v>
      </c>
      <c r="L620" s="30" t="s">
        <v>2017</v>
      </c>
      <c r="M620" s="30" t="s">
        <v>2018</v>
      </c>
      <c r="N620" s="30" t="s">
        <v>2018</v>
      </c>
      <c r="O620" s="30" t="s">
        <v>2015</v>
      </c>
      <c r="P620" s="32">
        <v>225</v>
      </c>
      <c r="Q620" s="32">
        <v>175</v>
      </c>
      <c r="R620" s="32">
        <v>37</v>
      </c>
      <c r="S620" s="32">
        <v>11</v>
      </c>
      <c r="T620" s="32">
        <v>4</v>
      </c>
      <c r="U620" s="32">
        <v>19</v>
      </c>
      <c r="V620" s="32">
        <v>13</v>
      </c>
      <c r="W620" s="32">
        <v>8</v>
      </c>
      <c r="X620" s="32">
        <v>56</v>
      </c>
      <c r="Y620" s="32">
        <v>24</v>
      </c>
      <c r="Z620" s="32">
        <v>12</v>
      </c>
      <c r="AA620" s="32">
        <v>96</v>
      </c>
      <c r="AB620" s="32">
        <v>29</v>
      </c>
      <c r="AC620" s="32">
        <v>10</v>
      </c>
      <c r="AD620" s="32">
        <v>25</v>
      </c>
      <c r="AE620" s="32">
        <v>17</v>
      </c>
      <c r="AF620" s="32">
        <v>10</v>
      </c>
      <c r="AG620" s="32">
        <v>121</v>
      </c>
      <c r="AH620" s="32">
        <v>46</v>
      </c>
      <c r="AI620" s="32">
        <v>20</v>
      </c>
      <c r="AJ620" s="32">
        <v>121</v>
      </c>
      <c r="AK620" s="32">
        <v>232</v>
      </c>
      <c r="AL620" s="32">
        <v>52.2</v>
      </c>
    </row>
    <row r="621" spans="1:38" ht="13.5" customHeight="1">
      <c r="A621" s="30" t="s">
        <v>2272</v>
      </c>
      <c r="B621" s="30" t="s">
        <v>2273</v>
      </c>
      <c r="C621" s="30" t="s">
        <v>235</v>
      </c>
      <c r="D621" s="30" t="s">
        <v>2012</v>
      </c>
      <c r="E621" s="30" t="s">
        <v>2048</v>
      </c>
      <c r="F621" s="30" t="s">
        <v>2049</v>
      </c>
      <c r="G621" s="30"/>
      <c r="H621" s="30" t="s">
        <v>2750</v>
      </c>
      <c r="I621" s="30" t="s">
        <v>2015</v>
      </c>
      <c r="J621" s="30" t="s">
        <v>2015</v>
      </c>
      <c r="K621" s="30" t="s">
        <v>2018</v>
      </c>
      <c r="L621" s="30" t="s">
        <v>2017</v>
      </c>
      <c r="M621" s="30" t="s">
        <v>2018</v>
      </c>
      <c r="N621" s="30" t="s">
        <v>2018</v>
      </c>
      <c r="O621" s="30" t="s">
        <v>2015</v>
      </c>
      <c r="P621" s="32">
        <v>147</v>
      </c>
      <c r="Q621" s="32">
        <v>159</v>
      </c>
      <c r="R621" s="32">
        <v>22</v>
      </c>
      <c r="S621" s="32">
        <v>16</v>
      </c>
      <c r="T621" s="32">
        <v>8</v>
      </c>
      <c r="U621" s="32">
        <v>27</v>
      </c>
      <c r="V621" s="32">
        <v>19</v>
      </c>
      <c r="W621" s="32">
        <v>9</v>
      </c>
      <c r="X621" s="32">
        <v>49</v>
      </c>
      <c r="Y621" s="32">
        <v>35</v>
      </c>
      <c r="Z621" s="32">
        <v>17</v>
      </c>
      <c r="AA621" s="32">
        <v>62</v>
      </c>
      <c r="AB621" s="32">
        <v>45</v>
      </c>
      <c r="AC621" s="32">
        <v>22</v>
      </c>
      <c r="AD621" s="32">
        <v>30</v>
      </c>
      <c r="AE621" s="32">
        <v>21</v>
      </c>
      <c r="AF621" s="32">
        <v>10</v>
      </c>
      <c r="AG621" s="32">
        <v>92</v>
      </c>
      <c r="AH621" s="32">
        <v>66</v>
      </c>
      <c r="AI621" s="32">
        <v>32</v>
      </c>
      <c r="AJ621" s="32">
        <v>92</v>
      </c>
      <c r="AK621" s="32">
        <v>152</v>
      </c>
      <c r="AL621" s="32">
        <v>60.5</v>
      </c>
    </row>
    <row r="622" spans="1:38" ht="13.5" customHeight="1">
      <c r="A622" s="30" t="s">
        <v>2272</v>
      </c>
      <c r="B622" s="30" t="s">
        <v>2273</v>
      </c>
      <c r="C622" s="30" t="s">
        <v>235</v>
      </c>
      <c r="D622" s="30" t="s">
        <v>2012</v>
      </c>
      <c r="E622" s="30" t="s">
        <v>2048</v>
      </c>
      <c r="F622" s="30" t="s">
        <v>2049</v>
      </c>
      <c r="G622" s="30"/>
      <c r="H622" s="30" t="s">
        <v>2751</v>
      </c>
      <c r="I622" s="30" t="s">
        <v>2015</v>
      </c>
      <c r="J622" s="30" t="s">
        <v>2015</v>
      </c>
      <c r="K622" s="30" t="s">
        <v>2018</v>
      </c>
      <c r="L622" s="30" t="s">
        <v>2017</v>
      </c>
      <c r="M622" s="30" t="s">
        <v>2018</v>
      </c>
      <c r="N622" s="30" t="s">
        <v>2018</v>
      </c>
      <c r="O622" s="30" t="s">
        <v>2015</v>
      </c>
      <c r="P622" s="32">
        <v>105</v>
      </c>
      <c r="Q622" s="32">
        <v>84</v>
      </c>
      <c r="R622" s="32">
        <v>17</v>
      </c>
      <c r="S622" s="32">
        <v>10</v>
      </c>
      <c r="T622" s="32">
        <v>5</v>
      </c>
      <c r="U622" s="32">
        <v>4</v>
      </c>
      <c r="V622" s="32">
        <v>4</v>
      </c>
      <c r="W622" s="32">
        <v>2</v>
      </c>
      <c r="X622" s="32">
        <v>21</v>
      </c>
      <c r="Y622" s="32">
        <v>14</v>
      </c>
      <c r="Z622" s="32">
        <v>7</v>
      </c>
      <c r="AA622" s="32">
        <v>48</v>
      </c>
      <c r="AB622" s="32">
        <v>28</v>
      </c>
      <c r="AC622" s="32">
        <v>14</v>
      </c>
      <c r="AD622" s="32">
        <v>4</v>
      </c>
      <c r="AE622" s="32">
        <v>4</v>
      </c>
      <c r="AF622" s="32">
        <v>2</v>
      </c>
      <c r="AG622" s="32">
        <v>52</v>
      </c>
      <c r="AH622" s="32">
        <v>32</v>
      </c>
      <c r="AI622" s="32">
        <v>16</v>
      </c>
      <c r="AJ622" s="32">
        <v>52</v>
      </c>
      <c r="AK622" s="32">
        <v>120</v>
      </c>
      <c r="AL622" s="32">
        <v>43.3</v>
      </c>
    </row>
    <row r="623" spans="1:38" ht="13.5" customHeight="1">
      <c r="A623" s="30" t="s">
        <v>2272</v>
      </c>
      <c r="B623" s="30" t="s">
        <v>2273</v>
      </c>
      <c r="C623" s="30" t="s">
        <v>235</v>
      </c>
      <c r="D623" s="30" t="s">
        <v>2012</v>
      </c>
      <c r="E623" s="30" t="s">
        <v>2048</v>
      </c>
      <c r="F623" s="30" t="s">
        <v>2049</v>
      </c>
      <c r="G623" s="30"/>
      <c r="H623" s="30" t="s">
        <v>2752</v>
      </c>
      <c r="I623" s="30" t="s">
        <v>2015</v>
      </c>
      <c r="J623" s="30" t="s">
        <v>2015</v>
      </c>
      <c r="K623" s="30" t="s">
        <v>2018</v>
      </c>
      <c r="L623" s="30" t="s">
        <v>2017</v>
      </c>
      <c r="M623" s="30" t="s">
        <v>2018</v>
      </c>
      <c r="N623" s="30" t="s">
        <v>2018</v>
      </c>
      <c r="O623" s="30" t="s">
        <v>2015</v>
      </c>
      <c r="P623" s="32">
        <v>114</v>
      </c>
      <c r="Q623" s="32">
        <v>150</v>
      </c>
      <c r="R623" s="32">
        <v>25</v>
      </c>
      <c r="S623" s="32">
        <v>14</v>
      </c>
      <c r="T623" s="32">
        <v>10</v>
      </c>
      <c r="U623" s="32">
        <v>13</v>
      </c>
      <c r="V623" s="32">
        <v>7</v>
      </c>
      <c r="W623" s="32">
        <v>6</v>
      </c>
      <c r="X623" s="32">
        <v>38</v>
      </c>
      <c r="Y623" s="32">
        <v>21</v>
      </c>
      <c r="Z623" s="32">
        <v>16</v>
      </c>
      <c r="AA623" s="32">
        <v>58</v>
      </c>
      <c r="AB623" s="32">
        <v>32</v>
      </c>
      <c r="AC623" s="32">
        <v>23</v>
      </c>
      <c r="AD623" s="32">
        <v>14</v>
      </c>
      <c r="AE623" s="32">
        <v>8</v>
      </c>
      <c r="AF623" s="32">
        <v>7</v>
      </c>
      <c r="AG623" s="32">
        <v>72</v>
      </c>
      <c r="AH623" s="32">
        <v>40</v>
      </c>
      <c r="AI623" s="32">
        <v>30</v>
      </c>
      <c r="AJ623" s="32">
        <v>72</v>
      </c>
      <c r="AK623" s="32">
        <v>96</v>
      </c>
      <c r="AL623" s="32">
        <v>75</v>
      </c>
    </row>
    <row r="624" spans="1:38" ht="13.5" customHeight="1">
      <c r="A624" s="30" t="s">
        <v>2272</v>
      </c>
      <c r="B624" s="30" t="s">
        <v>2273</v>
      </c>
      <c r="C624" s="30" t="s">
        <v>235</v>
      </c>
      <c r="D624" s="30" t="s">
        <v>2012</v>
      </c>
      <c r="E624" s="30" t="s">
        <v>2048</v>
      </c>
      <c r="F624" s="30" t="s">
        <v>2049</v>
      </c>
      <c r="G624" s="30"/>
      <c r="H624" s="30" t="s">
        <v>2753</v>
      </c>
      <c r="I624" s="30" t="s">
        <v>2015</v>
      </c>
      <c r="J624" s="30" t="s">
        <v>2015</v>
      </c>
      <c r="K624" s="30" t="s">
        <v>2018</v>
      </c>
      <c r="L624" s="30" t="s">
        <v>2017</v>
      </c>
      <c r="M624" s="30" t="s">
        <v>2018</v>
      </c>
      <c r="N624" s="30" t="s">
        <v>2018</v>
      </c>
      <c r="O624" s="30" t="s">
        <v>2015</v>
      </c>
      <c r="P624" s="32">
        <v>430</v>
      </c>
      <c r="Q624" s="32">
        <v>342</v>
      </c>
      <c r="R624" s="32">
        <v>45</v>
      </c>
      <c r="S624" s="32">
        <v>19</v>
      </c>
      <c r="T624" s="32">
        <v>10</v>
      </c>
      <c r="U624" s="32">
        <v>47</v>
      </c>
      <c r="V624" s="32">
        <v>26</v>
      </c>
      <c r="W624" s="32">
        <v>17</v>
      </c>
      <c r="X624" s="32">
        <v>92</v>
      </c>
      <c r="Y624" s="32">
        <v>45</v>
      </c>
      <c r="Z624" s="32">
        <v>27</v>
      </c>
      <c r="AA624" s="32">
        <v>131</v>
      </c>
      <c r="AB624" s="32">
        <v>55</v>
      </c>
      <c r="AC624" s="32">
        <v>29</v>
      </c>
      <c r="AD624" s="32">
        <v>61</v>
      </c>
      <c r="AE624" s="32">
        <v>34</v>
      </c>
      <c r="AF624" s="32">
        <v>22</v>
      </c>
      <c r="AG624" s="32">
        <v>192</v>
      </c>
      <c r="AH624" s="32">
        <v>89</v>
      </c>
      <c r="AI624" s="32">
        <v>51</v>
      </c>
      <c r="AJ624" s="32">
        <v>192</v>
      </c>
      <c r="AK624" s="32">
        <v>395</v>
      </c>
      <c r="AL624" s="32">
        <v>48.6</v>
      </c>
    </row>
    <row r="625" spans="1:38" ht="13.5" customHeight="1">
      <c r="A625" s="30" t="s">
        <v>2272</v>
      </c>
      <c r="B625" s="30" t="s">
        <v>2273</v>
      </c>
      <c r="C625" s="30" t="s">
        <v>235</v>
      </c>
      <c r="D625" s="30" t="s">
        <v>2012</v>
      </c>
      <c r="E625" s="30" t="s">
        <v>2048</v>
      </c>
      <c r="F625" s="30" t="s">
        <v>2049</v>
      </c>
      <c r="G625" s="30"/>
      <c r="H625" s="30" t="s">
        <v>2754</v>
      </c>
      <c r="I625" s="30" t="s">
        <v>2015</v>
      </c>
      <c r="J625" s="30" t="s">
        <v>2015</v>
      </c>
      <c r="K625" s="30" t="s">
        <v>2018</v>
      </c>
      <c r="L625" s="30" t="s">
        <v>2017</v>
      </c>
      <c r="M625" s="30" t="s">
        <v>2018</v>
      </c>
      <c r="N625" s="30" t="s">
        <v>2018</v>
      </c>
      <c r="O625" s="30" t="s">
        <v>2015</v>
      </c>
      <c r="P625" s="32">
        <v>262</v>
      </c>
      <c r="Q625" s="32">
        <v>139</v>
      </c>
      <c r="R625" s="32">
        <v>23</v>
      </c>
      <c r="S625" s="32">
        <v>7</v>
      </c>
      <c r="T625" s="32">
        <v>1</v>
      </c>
      <c r="U625" s="32">
        <v>29</v>
      </c>
      <c r="V625" s="32">
        <v>20</v>
      </c>
      <c r="W625" s="32">
        <v>11</v>
      </c>
      <c r="X625" s="32">
        <v>52</v>
      </c>
      <c r="Y625" s="32">
        <v>27</v>
      </c>
      <c r="Z625" s="32">
        <v>12</v>
      </c>
      <c r="AA625" s="32">
        <v>78</v>
      </c>
      <c r="AB625" s="32">
        <v>24</v>
      </c>
      <c r="AC625" s="32">
        <v>3</v>
      </c>
      <c r="AD625" s="32">
        <v>29</v>
      </c>
      <c r="AE625" s="32">
        <v>20</v>
      </c>
      <c r="AF625" s="32">
        <v>11</v>
      </c>
      <c r="AG625" s="32">
        <v>107</v>
      </c>
      <c r="AH625" s="32">
        <v>44</v>
      </c>
      <c r="AI625" s="32">
        <v>14</v>
      </c>
      <c r="AJ625" s="32">
        <v>107</v>
      </c>
      <c r="AK625" s="32">
        <v>236</v>
      </c>
      <c r="AL625" s="32">
        <v>45.3</v>
      </c>
    </row>
    <row r="626" spans="1:38" ht="13.5" hidden="1" customHeight="1">
      <c r="A626" s="30" t="s">
        <v>2272</v>
      </c>
      <c r="B626" s="30" t="s">
        <v>2273</v>
      </c>
      <c r="C626" s="30" t="s">
        <v>235</v>
      </c>
      <c r="D626" s="30" t="s">
        <v>2012</v>
      </c>
      <c r="E626" s="30" t="s">
        <v>2050</v>
      </c>
      <c r="F626" s="30" t="s">
        <v>2051</v>
      </c>
      <c r="G626" s="30"/>
      <c r="H626" s="30" t="s">
        <v>2755</v>
      </c>
      <c r="I626" s="30" t="s">
        <v>2015</v>
      </c>
      <c r="J626" s="30" t="s">
        <v>2015</v>
      </c>
      <c r="K626" s="30" t="s">
        <v>2018</v>
      </c>
      <c r="L626" s="30" t="s">
        <v>2017</v>
      </c>
      <c r="M626" s="30" t="s">
        <v>2018</v>
      </c>
      <c r="N626" s="30" t="s">
        <v>2018</v>
      </c>
      <c r="O626" s="30" t="s">
        <v>2015</v>
      </c>
      <c r="P626" s="32">
        <v>2145</v>
      </c>
      <c r="Q626" s="32">
        <v>1910</v>
      </c>
      <c r="R626" s="32">
        <v>247</v>
      </c>
      <c r="S626" s="32">
        <v>105</v>
      </c>
      <c r="T626" s="32">
        <v>53</v>
      </c>
      <c r="U626" s="32">
        <v>151</v>
      </c>
      <c r="V626" s="32">
        <v>90</v>
      </c>
      <c r="W626" s="32">
        <v>53</v>
      </c>
      <c r="X626" s="32">
        <v>398</v>
      </c>
      <c r="Y626" s="32">
        <v>195</v>
      </c>
      <c r="Z626" s="32">
        <v>106</v>
      </c>
      <c r="AA626" s="32">
        <v>734</v>
      </c>
      <c r="AB626" s="32">
        <v>310</v>
      </c>
      <c r="AC626" s="32">
        <v>157</v>
      </c>
      <c r="AD626" s="32">
        <v>181</v>
      </c>
      <c r="AE626" s="32">
        <v>108</v>
      </c>
      <c r="AF626" s="32">
        <v>63</v>
      </c>
      <c r="AG626" s="32">
        <v>915</v>
      </c>
      <c r="AH626" s="32">
        <v>418</v>
      </c>
      <c r="AI626" s="32">
        <v>220</v>
      </c>
      <c r="AJ626" s="32">
        <v>915</v>
      </c>
      <c r="AK626" s="32">
        <v>2145</v>
      </c>
      <c r="AL626" s="32">
        <v>42.7</v>
      </c>
    </row>
    <row r="627" spans="1:38" ht="13.5" hidden="1" customHeight="1">
      <c r="A627" s="30" t="s">
        <v>2272</v>
      </c>
      <c r="B627" s="30" t="s">
        <v>2273</v>
      </c>
      <c r="C627" s="30" t="s">
        <v>235</v>
      </c>
      <c r="D627" s="30" t="s">
        <v>2012</v>
      </c>
      <c r="E627" s="30" t="s">
        <v>2050</v>
      </c>
      <c r="F627" s="30" t="s">
        <v>2051</v>
      </c>
      <c r="G627" s="30"/>
      <c r="H627" s="30" t="s">
        <v>2756</v>
      </c>
      <c r="I627" s="30" t="s">
        <v>2015</v>
      </c>
      <c r="J627" s="30" t="s">
        <v>2015</v>
      </c>
      <c r="K627" s="30" t="s">
        <v>2018</v>
      </c>
      <c r="L627" s="30" t="s">
        <v>2017</v>
      </c>
      <c r="M627" s="30" t="s">
        <v>2018</v>
      </c>
      <c r="N627" s="30" t="s">
        <v>2018</v>
      </c>
      <c r="O627" s="30" t="s">
        <v>2015</v>
      </c>
      <c r="P627" s="32">
        <v>2497</v>
      </c>
      <c r="Q627" s="32">
        <v>1103</v>
      </c>
      <c r="R627" s="32">
        <v>212</v>
      </c>
      <c r="S627" s="32">
        <v>92</v>
      </c>
      <c r="T627" s="32">
        <v>28</v>
      </c>
      <c r="U627" s="32">
        <v>217</v>
      </c>
      <c r="V627" s="32">
        <v>141</v>
      </c>
      <c r="W627" s="32">
        <v>58</v>
      </c>
      <c r="X627" s="32">
        <v>429</v>
      </c>
      <c r="Y627" s="32">
        <v>233</v>
      </c>
      <c r="Z627" s="32">
        <v>86</v>
      </c>
      <c r="AA627" s="32">
        <v>623</v>
      </c>
      <c r="AB627" s="32">
        <v>272</v>
      </c>
      <c r="AC627" s="32">
        <v>81</v>
      </c>
      <c r="AD627" s="32">
        <v>253</v>
      </c>
      <c r="AE627" s="32">
        <v>164</v>
      </c>
      <c r="AF627" s="32">
        <v>68</v>
      </c>
      <c r="AG627" s="32">
        <v>876</v>
      </c>
      <c r="AH627" s="32">
        <v>436</v>
      </c>
      <c r="AI627" s="32">
        <v>149</v>
      </c>
      <c r="AJ627" s="32">
        <v>876</v>
      </c>
      <c r="AK627" s="32">
        <v>2383</v>
      </c>
      <c r="AL627" s="32">
        <v>36.799999999999997</v>
      </c>
    </row>
    <row r="628" spans="1:38" ht="13.5" hidden="1" customHeight="1">
      <c r="A628" s="30" t="s">
        <v>2272</v>
      </c>
      <c r="B628" s="30" t="s">
        <v>2273</v>
      </c>
      <c r="C628" s="30" t="s">
        <v>235</v>
      </c>
      <c r="D628" s="30" t="s">
        <v>2012</v>
      </c>
      <c r="E628" s="30" t="s">
        <v>2050</v>
      </c>
      <c r="F628" s="30" t="s">
        <v>2051</v>
      </c>
      <c r="G628" s="30"/>
      <c r="H628" s="30" t="s">
        <v>2757</v>
      </c>
      <c r="I628" s="30" t="s">
        <v>2015</v>
      </c>
      <c r="J628" s="30" t="s">
        <v>2015</v>
      </c>
      <c r="K628" s="30" t="s">
        <v>2018</v>
      </c>
      <c r="L628" s="30" t="s">
        <v>2017</v>
      </c>
      <c r="M628" s="30" t="s">
        <v>2018</v>
      </c>
      <c r="N628" s="30" t="s">
        <v>2018</v>
      </c>
      <c r="O628" s="30" t="s">
        <v>2015</v>
      </c>
      <c r="P628" s="32">
        <v>3571</v>
      </c>
      <c r="Q628" s="32">
        <v>1415</v>
      </c>
      <c r="R628" s="32">
        <v>303</v>
      </c>
      <c r="S628" s="32">
        <v>166</v>
      </c>
      <c r="T628" s="32">
        <v>69</v>
      </c>
      <c r="U628" s="32">
        <v>147</v>
      </c>
      <c r="V628" s="32">
        <v>59</v>
      </c>
      <c r="W628" s="32">
        <v>47</v>
      </c>
      <c r="X628" s="32">
        <v>450</v>
      </c>
      <c r="Y628" s="32">
        <v>225</v>
      </c>
      <c r="Z628" s="32">
        <v>116</v>
      </c>
      <c r="AA628" s="32">
        <v>931</v>
      </c>
      <c r="AB628" s="32">
        <v>509</v>
      </c>
      <c r="AC628" s="32">
        <v>211</v>
      </c>
      <c r="AD628" s="32">
        <v>180</v>
      </c>
      <c r="AE628" s="32">
        <v>73</v>
      </c>
      <c r="AF628" s="32">
        <v>58</v>
      </c>
      <c r="AG628" s="32">
        <v>1111</v>
      </c>
      <c r="AH628" s="32">
        <v>582</v>
      </c>
      <c r="AI628" s="32">
        <v>269</v>
      </c>
      <c r="AJ628" s="32">
        <v>1111</v>
      </c>
      <c r="AK628" s="32">
        <v>3560</v>
      </c>
      <c r="AL628" s="32">
        <v>31.2</v>
      </c>
    </row>
    <row r="629" spans="1:38" ht="13.5" hidden="1" customHeight="1">
      <c r="A629" s="30" t="s">
        <v>2272</v>
      </c>
      <c r="B629" s="30" t="s">
        <v>2273</v>
      </c>
      <c r="C629" s="30" t="s">
        <v>235</v>
      </c>
      <c r="D629" s="30" t="s">
        <v>2012</v>
      </c>
      <c r="E629" s="30" t="s">
        <v>2050</v>
      </c>
      <c r="F629" s="30" t="s">
        <v>2051</v>
      </c>
      <c r="G629" s="30"/>
      <c r="H629" s="30" t="s">
        <v>2758</v>
      </c>
      <c r="I629" s="30" t="s">
        <v>2015</v>
      </c>
      <c r="J629" s="30" t="s">
        <v>2015</v>
      </c>
      <c r="K629" s="30" t="s">
        <v>2065</v>
      </c>
      <c r="L629" s="30" t="s">
        <v>2066</v>
      </c>
      <c r="M629" s="30" t="s">
        <v>2067</v>
      </c>
      <c r="N629" s="30" t="s">
        <v>2067</v>
      </c>
      <c r="O629" s="30" t="s">
        <v>2068</v>
      </c>
      <c r="P629" s="32">
        <v>6353</v>
      </c>
      <c r="Q629" s="32">
        <v>2414</v>
      </c>
      <c r="R629" s="32">
        <v>693</v>
      </c>
      <c r="S629" s="32">
        <v>381</v>
      </c>
      <c r="T629" s="32">
        <v>172</v>
      </c>
      <c r="U629" s="32">
        <v>442</v>
      </c>
      <c r="V629" s="32">
        <v>298</v>
      </c>
      <c r="W629" s="32">
        <v>174</v>
      </c>
      <c r="X629" s="32">
        <v>1135</v>
      </c>
      <c r="Y629" s="32">
        <v>679</v>
      </c>
      <c r="Z629" s="32">
        <v>346</v>
      </c>
      <c r="AA629" s="32">
        <v>2290</v>
      </c>
      <c r="AB629" s="32">
        <v>1263</v>
      </c>
      <c r="AC629" s="32">
        <v>557</v>
      </c>
      <c r="AD629" s="32">
        <v>556</v>
      </c>
      <c r="AE629" s="32">
        <v>384</v>
      </c>
      <c r="AF629" s="32">
        <v>224</v>
      </c>
      <c r="AG629" s="32">
        <v>2846</v>
      </c>
      <c r="AH629" s="32">
        <v>1647</v>
      </c>
      <c r="AI629" s="32">
        <v>781</v>
      </c>
      <c r="AJ629" s="32">
        <v>2846</v>
      </c>
      <c r="AK629" s="32">
        <v>6315</v>
      </c>
      <c r="AL629" s="32">
        <v>45.1</v>
      </c>
    </row>
    <row r="630" spans="1:38" ht="13.5" hidden="1" customHeight="1">
      <c r="A630" s="30" t="s">
        <v>2272</v>
      </c>
      <c r="B630" s="30" t="s">
        <v>2273</v>
      </c>
      <c r="C630" s="30" t="s">
        <v>235</v>
      </c>
      <c r="D630" s="30" t="s">
        <v>2012</v>
      </c>
      <c r="E630" s="30" t="s">
        <v>2050</v>
      </c>
      <c r="F630" s="30" t="s">
        <v>2051</v>
      </c>
      <c r="G630" s="30"/>
      <c r="H630" s="30" t="s">
        <v>2070</v>
      </c>
      <c r="I630" s="30" t="s">
        <v>2015</v>
      </c>
      <c r="J630" s="30" t="s">
        <v>2015</v>
      </c>
      <c r="K630" s="30" t="s">
        <v>2018</v>
      </c>
      <c r="L630" s="30" t="s">
        <v>2017</v>
      </c>
      <c r="M630" s="30" t="s">
        <v>2018</v>
      </c>
      <c r="N630" s="30" t="s">
        <v>2018</v>
      </c>
      <c r="O630" s="30" t="s">
        <v>2015</v>
      </c>
      <c r="P630" s="32">
        <v>20942</v>
      </c>
      <c r="Q630" s="32">
        <v>9631</v>
      </c>
      <c r="R630" s="32">
        <v>2108</v>
      </c>
      <c r="S630" s="32">
        <v>1121</v>
      </c>
      <c r="T630" s="32">
        <v>500</v>
      </c>
      <c r="U630" s="32">
        <v>2257</v>
      </c>
      <c r="V630" s="32">
        <v>1559</v>
      </c>
      <c r="W630" s="32">
        <v>1033</v>
      </c>
      <c r="X630" s="32">
        <v>4365</v>
      </c>
      <c r="Y630" s="32">
        <v>2680</v>
      </c>
      <c r="Z630" s="32">
        <v>1533</v>
      </c>
      <c r="AA630" s="32">
        <v>6305</v>
      </c>
      <c r="AB630" s="32">
        <v>3376</v>
      </c>
      <c r="AC630" s="32">
        <v>1528</v>
      </c>
      <c r="AD630" s="32">
        <v>2824</v>
      </c>
      <c r="AE630" s="32">
        <v>1932</v>
      </c>
      <c r="AF630" s="32">
        <v>1264</v>
      </c>
      <c r="AG630" s="32">
        <v>9129</v>
      </c>
      <c r="AH630" s="32">
        <v>5308</v>
      </c>
      <c r="AI630" s="32">
        <v>2792</v>
      </c>
      <c r="AJ630" s="32">
        <v>9129</v>
      </c>
      <c r="AK630" s="32">
        <v>20031</v>
      </c>
      <c r="AL630" s="32">
        <v>45.6</v>
      </c>
    </row>
    <row r="631" spans="1:38" ht="13.5" hidden="1" customHeight="1">
      <c r="A631" s="30" t="s">
        <v>2272</v>
      </c>
      <c r="B631" s="30" t="s">
        <v>2273</v>
      </c>
      <c r="C631" s="30" t="s">
        <v>235</v>
      </c>
      <c r="D631" s="30" t="s">
        <v>2012</v>
      </c>
      <c r="E631" s="30" t="s">
        <v>2050</v>
      </c>
      <c r="F631" s="30" t="s">
        <v>2051</v>
      </c>
      <c r="G631" s="30"/>
      <c r="H631" s="30" t="s">
        <v>2759</v>
      </c>
      <c r="I631" s="30" t="s">
        <v>2015</v>
      </c>
      <c r="J631" s="30" t="s">
        <v>2015</v>
      </c>
      <c r="K631" s="30" t="s">
        <v>2099</v>
      </c>
      <c r="L631" s="30" t="s">
        <v>2017</v>
      </c>
      <c r="M631" s="30" t="s">
        <v>2018</v>
      </c>
      <c r="N631" s="30" t="s">
        <v>2099</v>
      </c>
      <c r="O631" s="30" t="s">
        <v>2100</v>
      </c>
      <c r="P631" s="32">
        <v>7452</v>
      </c>
      <c r="Q631" s="32">
        <v>2930</v>
      </c>
      <c r="R631" s="32">
        <v>680</v>
      </c>
      <c r="S631" s="32">
        <v>248</v>
      </c>
      <c r="T631" s="32">
        <v>130</v>
      </c>
      <c r="U631" s="32">
        <v>472</v>
      </c>
      <c r="V631" s="32">
        <v>326</v>
      </c>
      <c r="W631" s="32">
        <v>209</v>
      </c>
      <c r="X631" s="32">
        <v>1152</v>
      </c>
      <c r="Y631" s="32">
        <v>574</v>
      </c>
      <c r="Z631" s="32">
        <v>339</v>
      </c>
      <c r="AA631" s="32">
        <v>2116</v>
      </c>
      <c r="AB631" s="32">
        <v>776</v>
      </c>
      <c r="AC631" s="32">
        <v>405</v>
      </c>
      <c r="AD631" s="32">
        <v>664</v>
      </c>
      <c r="AE631" s="32">
        <v>462</v>
      </c>
      <c r="AF631" s="32">
        <v>290</v>
      </c>
      <c r="AG631" s="32">
        <v>2780</v>
      </c>
      <c r="AH631" s="32">
        <v>1238</v>
      </c>
      <c r="AI631" s="32">
        <v>695</v>
      </c>
      <c r="AJ631" s="32">
        <v>2780</v>
      </c>
      <c r="AK631" s="32">
        <v>7438</v>
      </c>
      <c r="AL631" s="32">
        <v>37.4</v>
      </c>
    </row>
    <row r="632" spans="1:38" ht="13.5" hidden="1" customHeight="1">
      <c r="A632" s="30" t="s">
        <v>2272</v>
      </c>
      <c r="B632" s="30" t="s">
        <v>2273</v>
      </c>
      <c r="C632" s="30" t="s">
        <v>235</v>
      </c>
      <c r="D632" s="30" t="s">
        <v>2012</v>
      </c>
      <c r="E632" s="30" t="s">
        <v>2050</v>
      </c>
      <c r="F632" s="30" t="s">
        <v>2051</v>
      </c>
      <c r="G632" s="30"/>
      <c r="H632" s="30" t="s">
        <v>2760</v>
      </c>
      <c r="I632" s="30" t="s">
        <v>2015</v>
      </c>
      <c r="J632" s="30" t="s">
        <v>2015</v>
      </c>
      <c r="K632" s="30" t="s">
        <v>2018</v>
      </c>
      <c r="L632" s="30" t="s">
        <v>2017</v>
      </c>
      <c r="M632" s="30" t="s">
        <v>2018</v>
      </c>
      <c r="N632" s="30" t="s">
        <v>2018</v>
      </c>
      <c r="O632" s="30" t="s">
        <v>2015</v>
      </c>
      <c r="P632" s="32">
        <v>1269</v>
      </c>
      <c r="Q632" s="32">
        <v>588</v>
      </c>
      <c r="R632" s="32">
        <v>126</v>
      </c>
      <c r="S632" s="32">
        <v>58</v>
      </c>
      <c r="T632" s="32">
        <v>27</v>
      </c>
      <c r="U632" s="32">
        <v>118</v>
      </c>
      <c r="V632" s="32">
        <v>87</v>
      </c>
      <c r="W632" s="32">
        <v>60</v>
      </c>
      <c r="X632" s="32">
        <v>244</v>
      </c>
      <c r="Y632" s="32">
        <v>145</v>
      </c>
      <c r="Z632" s="32">
        <v>87</v>
      </c>
      <c r="AA632" s="32">
        <v>378</v>
      </c>
      <c r="AB632" s="32">
        <v>174</v>
      </c>
      <c r="AC632" s="32">
        <v>81</v>
      </c>
      <c r="AD632" s="32">
        <v>142</v>
      </c>
      <c r="AE632" s="32">
        <v>104</v>
      </c>
      <c r="AF632" s="32">
        <v>72</v>
      </c>
      <c r="AG632" s="32">
        <v>520</v>
      </c>
      <c r="AH632" s="32">
        <v>278</v>
      </c>
      <c r="AI632" s="32">
        <v>153</v>
      </c>
      <c r="AJ632" s="32">
        <v>520</v>
      </c>
      <c r="AK632" s="32">
        <v>1265</v>
      </c>
      <c r="AL632" s="32">
        <v>41.1</v>
      </c>
    </row>
    <row r="633" spans="1:38" ht="13.5" hidden="1" customHeight="1">
      <c r="A633" s="30" t="s">
        <v>2272</v>
      </c>
      <c r="B633" s="30" t="s">
        <v>2273</v>
      </c>
      <c r="C633" s="30" t="s">
        <v>235</v>
      </c>
      <c r="D633" s="30" t="s">
        <v>2012</v>
      </c>
      <c r="E633" s="30" t="s">
        <v>2050</v>
      </c>
      <c r="F633" s="30" t="s">
        <v>2051</v>
      </c>
      <c r="G633" s="30"/>
      <c r="H633" s="30" t="s">
        <v>2761</v>
      </c>
      <c r="I633" s="30" t="s">
        <v>2015</v>
      </c>
      <c r="J633" s="30" t="s">
        <v>2015</v>
      </c>
      <c r="K633" s="30" t="s">
        <v>2018</v>
      </c>
      <c r="L633" s="30" t="s">
        <v>2017</v>
      </c>
      <c r="M633" s="30" t="s">
        <v>2018</v>
      </c>
      <c r="N633" s="30" t="s">
        <v>2018</v>
      </c>
      <c r="O633" s="30" t="s">
        <v>2015</v>
      </c>
      <c r="P633" s="32">
        <v>1805</v>
      </c>
      <c r="Q633" s="32">
        <v>663</v>
      </c>
      <c r="R633" s="32">
        <v>132</v>
      </c>
      <c r="S633" s="32">
        <v>53</v>
      </c>
      <c r="T633" s="32">
        <v>22</v>
      </c>
      <c r="U633" s="32">
        <v>56</v>
      </c>
      <c r="V633" s="32">
        <v>36</v>
      </c>
      <c r="W633" s="32">
        <v>14</v>
      </c>
      <c r="X633" s="32">
        <v>188</v>
      </c>
      <c r="Y633" s="32">
        <v>89</v>
      </c>
      <c r="Z633" s="32">
        <v>36</v>
      </c>
      <c r="AA633" s="32">
        <v>422</v>
      </c>
      <c r="AB633" s="32">
        <v>170</v>
      </c>
      <c r="AC633" s="32">
        <v>70</v>
      </c>
      <c r="AD633" s="32">
        <v>73</v>
      </c>
      <c r="AE633" s="32">
        <v>47</v>
      </c>
      <c r="AF633" s="32">
        <v>18</v>
      </c>
      <c r="AG633" s="32">
        <v>495</v>
      </c>
      <c r="AH633" s="32">
        <v>217</v>
      </c>
      <c r="AI633" s="32">
        <v>88</v>
      </c>
      <c r="AJ633" s="32">
        <v>495</v>
      </c>
      <c r="AK633" s="32">
        <v>1805</v>
      </c>
      <c r="AL633" s="32">
        <v>27.4</v>
      </c>
    </row>
    <row r="634" spans="1:38" ht="13.5" hidden="1" customHeight="1">
      <c r="A634" s="30" t="s">
        <v>2272</v>
      </c>
      <c r="B634" s="30" t="s">
        <v>2273</v>
      </c>
      <c r="C634" s="30" t="s">
        <v>235</v>
      </c>
      <c r="D634" s="30" t="s">
        <v>2012</v>
      </c>
      <c r="E634" s="30" t="s">
        <v>2050</v>
      </c>
      <c r="F634" s="30" t="s">
        <v>2051</v>
      </c>
      <c r="G634" s="30"/>
      <c r="H634" s="30" t="s">
        <v>2762</v>
      </c>
      <c r="I634" s="30" t="s">
        <v>2015</v>
      </c>
      <c r="J634" s="30" t="s">
        <v>2015</v>
      </c>
      <c r="K634" s="30" t="s">
        <v>2065</v>
      </c>
      <c r="L634" s="30" t="s">
        <v>2066</v>
      </c>
      <c r="M634" s="30" t="s">
        <v>2067</v>
      </c>
      <c r="N634" s="30" t="s">
        <v>2067</v>
      </c>
      <c r="O634" s="30" t="s">
        <v>2068</v>
      </c>
      <c r="P634" s="32">
        <v>5954</v>
      </c>
      <c r="Q634" s="32">
        <v>2418</v>
      </c>
      <c r="R634" s="32">
        <v>520</v>
      </c>
      <c r="S634" s="32">
        <v>223</v>
      </c>
      <c r="T634" s="32">
        <v>119</v>
      </c>
      <c r="U634" s="32">
        <v>390</v>
      </c>
      <c r="V634" s="32">
        <v>245</v>
      </c>
      <c r="W634" s="32">
        <v>120</v>
      </c>
      <c r="X634" s="32">
        <v>910</v>
      </c>
      <c r="Y634" s="32">
        <v>468</v>
      </c>
      <c r="Z634" s="32">
        <v>239</v>
      </c>
      <c r="AA634" s="32">
        <v>1573</v>
      </c>
      <c r="AB634" s="32">
        <v>655</v>
      </c>
      <c r="AC634" s="32">
        <v>346</v>
      </c>
      <c r="AD634" s="32">
        <v>471</v>
      </c>
      <c r="AE634" s="32">
        <v>295</v>
      </c>
      <c r="AF634" s="32">
        <v>147</v>
      </c>
      <c r="AG634" s="32">
        <v>2044</v>
      </c>
      <c r="AH634" s="32">
        <v>950</v>
      </c>
      <c r="AI634" s="32">
        <v>493</v>
      </c>
      <c r="AJ634" s="32">
        <v>2044</v>
      </c>
      <c r="AK634" s="32">
        <v>5954</v>
      </c>
      <c r="AL634" s="32">
        <v>34.299999999999997</v>
      </c>
    </row>
    <row r="635" spans="1:38" ht="13.5" hidden="1" customHeight="1">
      <c r="A635" s="30" t="s">
        <v>2272</v>
      </c>
      <c r="B635" s="30" t="s">
        <v>2273</v>
      </c>
      <c r="C635" s="30" t="s">
        <v>235</v>
      </c>
      <c r="D635" s="30" t="s">
        <v>2012</v>
      </c>
      <c r="E635" s="30" t="s">
        <v>2050</v>
      </c>
      <c r="F635" s="30" t="s">
        <v>2051</v>
      </c>
      <c r="G635" s="30"/>
      <c r="H635" s="30" t="s">
        <v>2763</v>
      </c>
      <c r="I635" s="30" t="s">
        <v>2015</v>
      </c>
      <c r="J635" s="30" t="s">
        <v>2015</v>
      </c>
      <c r="K635" s="30" t="s">
        <v>2099</v>
      </c>
      <c r="L635" s="30" t="s">
        <v>2017</v>
      </c>
      <c r="M635" s="30" t="s">
        <v>2018</v>
      </c>
      <c r="N635" s="30" t="s">
        <v>2099</v>
      </c>
      <c r="O635" s="30" t="s">
        <v>2100</v>
      </c>
      <c r="P635" s="32">
        <v>4114</v>
      </c>
      <c r="Q635" s="32">
        <v>1592</v>
      </c>
      <c r="R635" s="32">
        <v>350</v>
      </c>
      <c r="S635" s="32">
        <v>152</v>
      </c>
      <c r="T635" s="32">
        <v>94</v>
      </c>
      <c r="U635" s="32">
        <v>203</v>
      </c>
      <c r="V635" s="32">
        <v>126</v>
      </c>
      <c r="W635" s="32">
        <v>55</v>
      </c>
      <c r="X635" s="32">
        <v>553</v>
      </c>
      <c r="Y635" s="32">
        <v>278</v>
      </c>
      <c r="Z635" s="32">
        <v>149</v>
      </c>
      <c r="AA635" s="32">
        <v>1092</v>
      </c>
      <c r="AB635" s="32">
        <v>478</v>
      </c>
      <c r="AC635" s="32">
        <v>287</v>
      </c>
      <c r="AD635" s="32">
        <v>285</v>
      </c>
      <c r="AE635" s="32">
        <v>175</v>
      </c>
      <c r="AF635" s="32">
        <v>75</v>
      </c>
      <c r="AG635" s="32">
        <v>1377</v>
      </c>
      <c r="AH635" s="32">
        <v>653</v>
      </c>
      <c r="AI635" s="32">
        <v>362</v>
      </c>
      <c r="AJ635" s="32">
        <v>1377</v>
      </c>
      <c r="AK635" s="32">
        <v>4108</v>
      </c>
      <c r="AL635" s="32">
        <v>33.5</v>
      </c>
    </row>
    <row r="636" spans="1:38" ht="13.5" hidden="1" customHeight="1">
      <c r="A636" s="30" t="s">
        <v>2272</v>
      </c>
      <c r="B636" s="30" t="s">
        <v>2273</v>
      </c>
      <c r="C636" s="30" t="s">
        <v>235</v>
      </c>
      <c r="D636" s="30" t="s">
        <v>2012</v>
      </c>
      <c r="E636" s="30" t="s">
        <v>2050</v>
      </c>
      <c r="F636" s="30" t="s">
        <v>2051</v>
      </c>
      <c r="G636" s="30"/>
      <c r="H636" s="30" t="s">
        <v>2764</v>
      </c>
      <c r="I636" s="30" t="s">
        <v>2015</v>
      </c>
      <c r="J636" s="30" t="s">
        <v>2015</v>
      </c>
      <c r="K636" s="30" t="s">
        <v>2018</v>
      </c>
      <c r="L636" s="30" t="s">
        <v>2017</v>
      </c>
      <c r="M636" s="30" t="s">
        <v>2018</v>
      </c>
      <c r="N636" s="30" t="s">
        <v>2018</v>
      </c>
      <c r="O636" s="30" t="s">
        <v>2015</v>
      </c>
      <c r="P636" s="32">
        <v>10476</v>
      </c>
      <c r="Q636" s="32">
        <v>4985</v>
      </c>
      <c r="R636" s="32">
        <v>754</v>
      </c>
      <c r="S636" s="32">
        <v>305</v>
      </c>
      <c r="T636" s="32">
        <v>73</v>
      </c>
      <c r="U636" s="32">
        <v>657</v>
      </c>
      <c r="V636" s="32">
        <v>355</v>
      </c>
      <c r="W636" s="32">
        <v>150</v>
      </c>
      <c r="X636" s="32">
        <v>1411</v>
      </c>
      <c r="Y636" s="32">
        <v>660</v>
      </c>
      <c r="Z636" s="32">
        <v>223</v>
      </c>
      <c r="AA636" s="32">
        <v>2252</v>
      </c>
      <c r="AB636" s="32">
        <v>909</v>
      </c>
      <c r="AC636" s="32">
        <v>203</v>
      </c>
      <c r="AD636" s="32">
        <v>769</v>
      </c>
      <c r="AE636" s="32">
        <v>417</v>
      </c>
      <c r="AF636" s="32">
        <v>178</v>
      </c>
      <c r="AG636" s="32">
        <v>3021</v>
      </c>
      <c r="AH636" s="32">
        <v>1326</v>
      </c>
      <c r="AI636" s="32">
        <v>381</v>
      </c>
      <c r="AJ636" s="32">
        <v>3021</v>
      </c>
      <c r="AK636" s="32">
        <v>10337</v>
      </c>
      <c r="AL636" s="32">
        <v>29.2</v>
      </c>
    </row>
    <row r="637" spans="1:38" ht="13.5" hidden="1" customHeight="1">
      <c r="A637" s="30" t="s">
        <v>2272</v>
      </c>
      <c r="B637" s="30" t="s">
        <v>2273</v>
      </c>
      <c r="C637" s="30" t="s">
        <v>235</v>
      </c>
      <c r="D637" s="30" t="s">
        <v>2012</v>
      </c>
      <c r="E637" s="30" t="s">
        <v>2050</v>
      </c>
      <c r="F637" s="30" t="s">
        <v>2051</v>
      </c>
      <c r="G637" s="30"/>
      <c r="H637" s="30" t="s">
        <v>2765</v>
      </c>
      <c r="I637" s="30" t="s">
        <v>2015</v>
      </c>
      <c r="J637" s="30" t="s">
        <v>2015</v>
      </c>
      <c r="K637" s="30" t="s">
        <v>2018</v>
      </c>
      <c r="L637" s="30" t="s">
        <v>2017</v>
      </c>
      <c r="M637" s="30" t="s">
        <v>2018</v>
      </c>
      <c r="N637" s="30" t="s">
        <v>2018</v>
      </c>
      <c r="O637" s="30" t="s">
        <v>2015</v>
      </c>
      <c r="P637" s="32">
        <v>3720</v>
      </c>
      <c r="Q637" s="32">
        <v>2555</v>
      </c>
      <c r="R637" s="32">
        <v>163</v>
      </c>
      <c r="S637" s="32">
        <v>58</v>
      </c>
      <c r="T637" s="32">
        <v>17</v>
      </c>
      <c r="U637" s="32">
        <v>283</v>
      </c>
      <c r="V637" s="32">
        <v>130</v>
      </c>
      <c r="W637" s="32">
        <v>77</v>
      </c>
      <c r="X637" s="32">
        <v>446</v>
      </c>
      <c r="Y637" s="32">
        <v>188</v>
      </c>
      <c r="Z637" s="32">
        <v>94</v>
      </c>
      <c r="AA637" s="32">
        <v>477</v>
      </c>
      <c r="AB637" s="32">
        <v>168</v>
      </c>
      <c r="AC637" s="32">
        <v>47</v>
      </c>
      <c r="AD637" s="32">
        <v>333</v>
      </c>
      <c r="AE637" s="32">
        <v>154</v>
      </c>
      <c r="AF637" s="32">
        <v>93</v>
      </c>
      <c r="AG637" s="32">
        <v>810</v>
      </c>
      <c r="AH637" s="32">
        <v>322</v>
      </c>
      <c r="AI637" s="32">
        <v>140</v>
      </c>
      <c r="AJ637" s="32">
        <v>810</v>
      </c>
      <c r="AK637" s="32">
        <v>3720</v>
      </c>
      <c r="AL637" s="32">
        <v>21.8</v>
      </c>
    </row>
    <row r="638" spans="1:38" ht="13.5" hidden="1" customHeight="1">
      <c r="A638" s="30" t="s">
        <v>2272</v>
      </c>
      <c r="B638" s="30" t="s">
        <v>2273</v>
      </c>
      <c r="C638" s="30" t="s">
        <v>235</v>
      </c>
      <c r="D638" s="30" t="s">
        <v>2012</v>
      </c>
      <c r="E638" s="30" t="s">
        <v>2050</v>
      </c>
      <c r="F638" s="30" t="s">
        <v>2051</v>
      </c>
      <c r="G638" s="30"/>
      <c r="H638" s="30" t="s">
        <v>2766</v>
      </c>
      <c r="I638" s="30" t="s">
        <v>2015</v>
      </c>
      <c r="J638" s="30" t="s">
        <v>2015</v>
      </c>
      <c r="K638" s="30" t="s">
        <v>2065</v>
      </c>
      <c r="L638" s="30" t="s">
        <v>2066</v>
      </c>
      <c r="M638" s="30" t="s">
        <v>2067</v>
      </c>
      <c r="N638" s="30" t="s">
        <v>2067</v>
      </c>
      <c r="O638" s="30" t="s">
        <v>2068</v>
      </c>
      <c r="P638" s="32">
        <v>9543</v>
      </c>
      <c r="Q638" s="32">
        <v>4375</v>
      </c>
      <c r="R638" s="32">
        <v>940</v>
      </c>
      <c r="S638" s="32">
        <v>404</v>
      </c>
      <c r="T638" s="32">
        <v>178</v>
      </c>
      <c r="U638" s="32">
        <v>976</v>
      </c>
      <c r="V638" s="32">
        <v>559</v>
      </c>
      <c r="W638" s="32">
        <v>317</v>
      </c>
      <c r="X638" s="32">
        <v>1916</v>
      </c>
      <c r="Y638" s="32">
        <v>963</v>
      </c>
      <c r="Z638" s="32">
        <v>495</v>
      </c>
      <c r="AA638" s="32">
        <v>2809</v>
      </c>
      <c r="AB638" s="32">
        <v>1189</v>
      </c>
      <c r="AC638" s="32">
        <v>526</v>
      </c>
      <c r="AD638" s="32">
        <v>1247</v>
      </c>
      <c r="AE638" s="32">
        <v>707</v>
      </c>
      <c r="AF638" s="32">
        <v>405</v>
      </c>
      <c r="AG638" s="32">
        <v>4056</v>
      </c>
      <c r="AH638" s="32">
        <v>1896</v>
      </c>
      <c r="AI638" s="32">
        <v>931</v>
      </c>
      <c r="AJ638" s="32">
        <v>4056</v>
      </c>
      <c r="AK638" s="32">
        <v>9353</v>
      </c>
      <c r="AL638" s="32">
        <v>43.4</v>
      </c>
    </row>
    <row r="639" spans="1:38" ht="13.5" hidden="1" customHeight="1">
      <c r="A639" s="30" t="s">
        <v>2272</v>
      </c>
      <c r="B639" s="30" t="s">
        <v>2273</v>
      </c>
      <c r="C639" s="30" t="s">
        <v>235</v>
      </c>
      <c r="D639" s="30" t="s">
        <v>2012</v>
      </c>
      <c r="E639" s="30" t="s">
        <v>2050</v>
      </c>
      <c r="F639" s="30" t="s">
        <v>2051</v>
      </c>
      <c r="G639" s="30"/>
      <c r="H639" s="30" t="s">
        <v>2767</v>
      </c>
      <c r="I639" s="30" t="s">
        <v>2015</v>
      </c>
      <c r="J639" s="30" t="s">
        <v>2015</v>
      </c>
      <c r="K639" s="30" t="s">
        <v>2018</v>
      </c>
      <c r="L639" s="30" t="s">
        <v>2017</v>
      </c>
      <c r="M639" s="30" t="s">
        <v>2018</v>
      </c>
      <c r="N639" s="30" t="s">
        <v>2018</v>
      </c>
      <c r="O639" s="30" t="s">
        <v>2015</v>
      </c>
      <c r="P639" s="32">
        <v>5083</v>
      </c>
      <c r="Q639" s="32">
        <v>2090</v>
      </c>
      <c r="R639" s="32">
        <v>628</v>
      </c>
      <c r="S639" s="32">
        <v>318</v>
      </c>
      <c r="T639" s="32">
        <v>150</v>
      </c>
      <c r="U639" s="32">
        <v>283</v>
      </c>
      <c r="V639" s="32">
        <v>217</v>
      </c>
      <c r="W639" s="32">
        <v>123</v>
      </c>
      <c r="X639" s="32">
        <v>911</v>
      </c>
      <c r="Y639" s="32">
        <v>535</v>
      </c>
      <c r="Z639" s="32">
        <v>273</v>
      </c>
      <c r="AA639" s="32">
        <v>1985</v>
      </c>
      <c r="AB639" s="32">
        <v>1004</v>
      </c>
      <c r="AC639" s="32">
        <v>470</v>
      </c>
      <c r="AD639" s="32">
        <v>362</v>
      </c>
      <c r="AE639" s="32">
        <v>277</v>
      </c>
      <c r="AF639" s="32">
        <v>158</v>
      </c>
      <c r="AG639" s="32">
        <v>2347</v>
      </c>
      <c r="AH639" s="32">
        <v>1281</v>
      </c>
      <c r="AI639" s="32">
        <v>628</v>
      </c>
      <c r="AJ639" s="32">
        <v>2347</v>
      </c>
      <c r="AK639" s="32">
        <v>5083</v>
      </c>
      <c r="AL639" s="32">
        <v>46.2</v>
      </c>
    </row>
    <row r="640" spans="1:38" ht="13.5" hidden="1" customHeight="1">
      <c r="A640" s="30" t="s">
        <v>2272</v>
      </c>
      <c r="B640" s="30" t="s">
        <v>2273</v>
      </c>
      <c r="C640" s="30" t="s">
        <v>235</v>
      </c>
      <c r="D640" s="30" t="s">
        <v>2012</v>
      </c>
      <c r="E640" s="30" t="s">
        <v>2050</v>
      </c>
      <c r="F640" s="30" t="s">
        <v>2051</v>
      </c>
      <c r="G640" s="30"/>
      <c r="H640" s="30" t="s">
        <v>2768</v>
      </c>
      <c r="I640" s="30" t="s">
        <v>2015</v>
      </c>
      <c r="J640" s="30" t="s">
        <v>2015</v>
      </c>
      <c r="K640" s="30" t="s">
        <v>2018</v>
      </c>
      <c r="L640" s="30" t="s">
        <v>2017</v>
      </c>
      <c r="M640" s="30" t="s">
        <v>2018</v>
      </c>
      <c r="N640" s="30" t="s">
        <v>2018</v>
      </c>
      <c r="O640" s="30" t="s">
        <v>2015</v>
      </c>
      <c r="P640" s="32">
        <v>2240</v>
      </c>
      <c r="Q640" s="32">
        <v>1279</v>
      </c>
      <c r="R640" s="32">
        <v>243</v>
      </c>
      <c r="S640" s="32">
        <v>116</v>
      </c>
      <c r="T640" s="32">
        <v>48</v>
      </c>
      <c r="U640" s="32">
        <v>142</v>
      </c>
      <c r="V640" s="32">
        <v>104</v>
      </c>
      <c r="W640" s="32">
        <v>49</v>
      </c>
      <c r="X640" s="32">
        <v>385</v>
      </c>
      <c r="Y640" s="32">
        <v>220</v>
      </c>
      <c r="Z640" s="32">
        <v>97</v>
      </c>
      <c r="AA640" s="32">
        <v>771</v>
      </c>
      <c r="AB640" s="32">
        <v>369</v>
      </c>
      <c r="AC640" s="32">
        <v>153</v>
      </c>
      <c r="AD640" s="32">
        <v>200</v>
      </c>
      <c r="AE640" s="32">
        <v>146</v>
      </c>
      <c r="AF640" s="32">
        <v>69</v>
      </c>
      <c r="AG640" s="32">
        <v>971</v>
      </c>
      <c r="AH640" s="32">
        <v>515</v>
      </c>
      <c r="AI640" s="32">
        <v>222</v>
      </c>
      <c r="AJ640" s="32">
        <v>971</v>
      </c>
      <c r="AK640" s="32">
        <v>2235</v>
      </c>
      <c r="AL640" s="32">
        <v>43.4</v>
      </c>
    </row>
    <row r="641" spans="1:38" ht="13.5" hidden="1" customHeight="1">
      <c r="A641" s="30" t="s">
        <v>2272</v>
      </c>
      <c r="B641" s="30" t="s">
        <v>2273</v>
      </c>
      <c r="C641" s="30" t="s">
        <v>235</v>
      </c>
      <c r="D641" s="30" t="s">
        <v>2012</v>
      </c>
      <c r="E641" s="30" t="s">
        <v>2050</v>
      </c>
      <c r="F641" s="30" t="s">
        <v>2051</v>
      </c>
      <c r="G641" s="30"/>
      <c r="H641" s="30" t="s">
        <v>2769</v>
      </c>
      <c r="I641" s="30" t="s">
        <v>2015</v>
      </c>
      <c r="J641" s="30" t="s">
        <v>2015</v>
      </c>
      <c r="K641" s="30" t="s">
        <v>2099</v>
      </c>
      <c r="L641" s="30" t="s">
        <v>2017</v>
      </c>
      <c r="M641" s="30" t="s">
        <v>2018</v>
      </c>
      <c r="N641" s="30" t="s">
        <v>2099</v>
      </c>
      <c r="O641" s="30" t="s">
        <v>2100</v>
      </c>
      <c r="P641" s="32">
        <v>3403</v>
      </c>
      <c r="Q641" s="32">
        <v>1354</v>
      </c>
      <c r="R641" s="32">
        <v>420</v>
      </c>
      <c r="S641" s="32">
        <v>207</v>
      </c>
      <c r="T641" s="32">
        <v>95</v>
      </c>
      <c r="U641" s="32">
        <v>170</v>
      </c>
      <c r="V641" s="32">
        <v>133</v>
      </c>
      <c r="W641" s="32">
        <v>94</v>
      </c>
      <c r="X641" s="32">
        <v>590</v>
      </c>
      <c r="Y641" s="32">
        <v>340</v>
      </c>
      <c r="Z641" s="32">
        <v>189</v>
      </c>
      <c r="AA641" s="32">
        <v>1366</v>
      </c>
      <c r="AB641" s="32">
        <v>671</v>
      </c>
      <c r="AC641" s="32">
        <v>308</v>
      </c>
      <c r="AD641" s="32">
        <v>231</v>
      </c>
      <c r="AE641" s="32">
        <v>181</v>
      </c>
      <c r="AF641" s="32">
        <v>128</v>
      </c>
      <c r="AG641" s="32">
        <v>1597</v>
      </c>
      <c r="AH641" s="32">
        <v>852</v>
      </c>
      <c r="AI641" s="32">
        <v>436</v>
      </c>
      <c r="AJ641" s="32">
        <v>1597</v>
      </c>
      <c r="AK641" s="32">
        <v>3239</v>
      </c>
      <c r="AL641" s="32">
        <v>49.3</v>
      </c>
    </row>
    <row r="642" spans="1:38" ht="13.5" hidden="1" customHeight="1">
      <c r="A642" s="30" t="s">
        <v>2272</v>
      </c>
      <c r="B642" s="30" t="s">
        <v>2273</v>
      </c>
      <c r="C642" s="30" t="s">
        <v>235</v>
      </c>
      <c r="D642" s="30" t="s">
        <v>2012</v>
      </c>
      <c r="E642" s="30" t="s">
        <v>2050</v>
      </c>
      <c r="F642" s="30" t="s">
        <v>2051</v>
      </c>
      <c r="G642" s="30"/>
      <c r="H642" s="30" t="s">
        <v>2770</v>
      </c>
      <c r="I642" s="30" t="s">
        <v>2015</v>
      </c>
      <c r="J642" s="30" t="s">
        <v>2015</v>
      </c>
      <c r="K642" s="30" t="s">
        <v>2018</v>
      </c>
      <c r="L642" s="30" t="s">
        <v>2017</v>
      </c>
      <c r="M642" s="30" t="s">
        <v>2018</v>
      </c>
      <c r="N642" s="30" t="s">
        <v>2018</v>
      </c>
      <c r="O642" s="30" t="s">
        <v>2015</v>
      </c>
      <c r="P642" s="32">
        <v>3795</v>
      </c>
      <c r="Q642" s="32">
        <v>1749</v>
      </c>
      <c r="R642" s="32">
        <v>318</v>
      </c>
      <c r="S642" s="32">
        <v>167</v>
      </c>
      <c r="T642" s="32">
        <v>75</v>
      </c>
      <c r="U642" s="32">
        <v>139</v>
      </c>
      <c r="V642" s="32">
        <v>100</v>
      </c>
      <c r="W642" s="32">
        <v>64</v>
      </c>
      <c r="X642" s="32">
        <v>457</v>
      </c>
      <c r="Y642" s="32">
        <v>267</v>
      </c>
      <c r="Z642" s="32">
        <v>139</v>
      </c>
      <c r="AA642" s="32">
        <v>986</v>
      </c>
      <c r="AB642" s="32">
        <v>516</v>
      </c>
      <c r="AC642" s="32">
        <v>231</v>
      </c>
      <c r="AD642" s="32">
        <v>189</v>
      </c>
      <c r="AE642" s="32">
        <v>137</v>
      </c>
      <c r="AF642" s="32">
        <v>88</v>
      </c>
      <c r="AG642" s="32">
        <v>1175</v>
      </c>
      <c r="AH642" s="32">
        <v>653</v>
      </c>
      <c r="AI642" s="32">
        <v>319</v>
      </c>
      <c r="AJ642" s="32">
        <v>1175</v>
      </c>
      <c r="AK642" s="32">
        <v>3795</v>
      </c>
      <c r="AL642" s="32">
        <v>31</v>
      </c>
    </row>
    <row r="643" spans="1:38" ht="13.5" hidden="1" customHeight="1">
      <c r="A643" s="30" t="s">
        <v>2272</v>
      </c>
      <c r="B643" s="30" t="s">
        <v>2273</v>
      </c>
      <c r="C643" s="30" t="s">
        <v>235</v>
      </c>
      <c r="D643" s="30" t="s">
        <v>2012</v>
      </c>
      <c r="E643" s="30" t="s">
        <v>2050</v>
      </c>
      <c r="F643" s="30" t="s">
        <v>2051</v>
      </c>
      <c r="G643" s="30"/>
      <c r="H643" s="30" t="s">
        <v>2771</v>
      </c>
      <c r="I643" s="30" t="s">
        <v>2015</v>
      </c>
      <c r="J643" s="30" t="s">
        <v>2015</v>
      </c>
      <c r="K643" s="30" t="s">
        <v>2018</v>
      </c>
      <c r="L643" s="30" t="s">
        <v>2017</v>
      </c>
      <c r="M643" s="30" t="s">
        <v>2018</v>
      </c>
      <c r="N643" s="30" t="s">
        <v>2018</v>
      </c>
      <c r="O643" s="30" t="s">
        <v>2015</v>
      </c>
      <c r="P643" s="32">
        <v>1328</v>
      </c>
      <c r="Q643" s="32">
        <v>939</v>
      </c>
      <c r="R643" s="32">
        <v>170</v>
      </c>
      <c r="S643" s="32">
        <v>86</v>
      </c>
      <c r="T643" s="32">
        <v>33</v>
      </c>
      <c r="U643" s="32">
        <v>75</v>
      </c>
      <c r="V643" s="32">
        <v>48</v>
      </c>
      <c r="W643" s="32">
        <v>27</v>
      </c>
      <c r="X643" s="32">
        <v>245</v>
      </c>
      <c r="Y643" s="32">
        <v>134</v>
      </c>
      <c r="Z643" s="32">
        <v>60</v>
      </c>
      <c r="AA643" s="32">
        <v>527</v>
      </c>
      <c r="AB643" s="32">
        <v>267</v>
      </c>
      <c r="AC643" s="32">
        <v>102</v>
      </c>
      <c r="AD643" s="32">
        <v>105</v>
      </c>
      <c r="AE643" s="32">
        <v>67</v>
      </c>
      <c r="AF643" s="32">
        <v>38</v>
      </c>
      <c r="AG643" s="32">
        <v>632</v>
      </c>
      <c r="AH643" s="32">
        <v>334</v>
      </c>
      <c r="AI643" s="32">
        <v>140</v>
      </c>
      <c r="AJ643" s="32">
        <v>632</v>
      </c>
      <c r="AK643" s="32">
        <v>1324</v>
      </c>
      <c r="AL643" s="32">
        <v>47.7</v>
      </c>
    </row>
    <row r="644" spans="1:38" ht="13.5" hidden="1" customHeight="1">
      <c r="A644" s="30" t="s">
        <v>2272</v>
      </c>
      <c r="B644" s="30" t="s">
        <v>2273</v>
      </c>
      <c r="C644" s="30" t="s">
        <v>235</v>
      </c>
      <c r="D644" s="30" t="s">
        <v>2012</v>
      </c>
      <c r="E644" s="30" t="s">
        <v>2050</v>
      </c>
      <c r="F644" s="30" t="s">
        <v>2051</v>
      </c>
      <c r="G644" s="30"/>
      <c r="H644" s="30" t="s">
        <v>2772</v>
      </c>
      <c r="I644" s="30" t="s">
        <v>2015</v>
      </c>
      <c r="J644" s="30" t="s">
        <v>2015</v>
      </c>
      <c r="K644" s="30" t="s">
        <v>2018</v>
      </c>
      <c r="L644" s="30" t="s">
        <v>2017</v>
      </c>
      <c r="M644" s="30" t="s">
        <v>2018</v>
      </c>
      <c r="N644" s="30" t="s">
        <v>2018</v>
      </c>
      <c r="O644" s="30" t="s">
        <v>2015</v>
      </c>
      <c r="P644" s="32">
        <v>4293</v>
      </c>
      <c r="Q644" s="32">
        <v>1705</v>
      </c>
      <c r="R644" s="32">
        <v>348</v>
      </c>
      <c r="S644" s="32">
        <v>118</v>
      </c>
      <c r="T644" s="32">
        <v>56</v>
      </c>
      <c r="U644" s="32">
        <v>238</v>
      </c>
      <c r="V644" s="32">
        <v>154</v>
      </c>
      <c r="W644" s="32">
        <v>61</v>
      </c>
      <c r="X644" s="32">
        <v>586</v>
      </c>
      <c r="Y644" s="32">
        <v>272</v>
      </c>
      <c r="Z644" s="32">
        <v>117</v>
      </c>
      <c r="AA644" s="32">
        <v>1093</v>
      </c>
      <c r="AB644" s="32">
        <v>372</v>
      </c>
      <c r="AC644" s="32">
        <v>177</v>
      </c>
      <c r="AD644" s="32">
        <v>294</v>
      </c>
      <c r="AE644" s="32">
        <v>192</v>
      </c>
      <c r="AF644" s="32">
        <v>75</v>
      </c>
      <c r="AG644" s="32">
        <v>1387</v>
      </c>
      <c r="AH644" s="32">
        <v>564</v>
      </c>
      <c r="AI644" s="32">
        <v>252</v>
      </c>
      <c r="AJ644" s="32">
        <v>1387</v>
      </c>
      <c r="AK644" s="32">
        <v>4240</v>
      </c>
      <c r="AL644" s="32">
        <v>32.700000000000003</v>
      </c>
    </row>
    <row r="645" spans="1:38" ht="13.5" hidden="1" customHeight="1">
      <c r="A645" s="30" t="s">
        <v>2272</v>
      </c>
      <c r="B645" s="30" t="s">
        <v>2273</v>
      </c>
      <c r="C645" s="30" t="s">
        <v>235</v>
      </c>
      <c r="D645" s="30" t="s">
        <v>2012</v>
      </c>
      <c r="E645" s="30" t="s">
        <v>2050</v>
      </c>
      <c r="F645" s="30" t="s">
        <v>2051</v>
      </c>
      <c r="G645" s="30"/>
      <c r="H645" s="30" t="s">
        <v>2773</v>
      </c>
      <c r="I645" s="30" t="s">
        <v>2015</v>
      </c>
      <c r="J645" s="30" t="s">
        <v>2015</v>
      </c>
      <c r="K645" s="30" t="s">
        <v>2018</v>
      </c>
      <c r="L645" s="30" t="s">
        <v>2017</v>
      </c>
      <c r="M645" s="30" t="s">
        <v>2018</v>
      </c>
      <c r="N645" s="30" t="s">
        <v>2018</v>
      </c>
      <c r="O645" s="30" t="s">
        <v>2015</v>
      </c>
      <c r="P645" s="32">
        <v>1226</v>
      </c>
      <c r="Q645" s="32">
        <v>2114</v>
      </c>
      <c r="R645" s="32">
        <v>80</v>
      </c>
      <c r="S645" s="32">
        <v>26</v>
      </c>
      <c r="T645" s="32">
        <v>6</v>
      </c>
      <c r="U645" s="32">
        <v>155</v>
      </c>
      <c r="V645" s="32">
        <v>88</v>
      </c>
      <c r="W645" s="32">
        <v>34</v>
      </c>
      <c r="X645" s="32">
        <v>235</v>
      </c>
      <c r="Y645" s="32">
        <v>114</v>
      </c>
      <c r="Z645" s="32">
        <v>40</v>
      </c>
      <c r="AA645" s="32">
        <v>196</v>
      </c>
      <c r="AB645" s="32">
        <v>64</v>
      </c>
      <c r="AC645" s="32">
        <v>15</v>
      </c>
      <c r="AD645" s="32">
        <v>186</v>
      </c>
      <c r="AE645" s="32">
        <v>105</v>
      </c>
      <c r="AF645" s="32">
        <v>41</v>
      </c>
      <c r="AG645" s="32">
        <v>382</v>
      </c>
      <c r="AH645" s="32">
        <v>169</v>
      </c>
      <c r="AI645" s="32">
        <v>56</v>
      </c>
      <c r="AJ645" s="32">
        <v>382</v>
      </c>
      <c r="AK645" s="32">
        <v>1226</v>
      </c>
      <c r="AL645" s="32">
        <v>31.2</v>
      </c>
    </row>
    <row r="646" spans="1:38" ht="13.5" hidden="1" customHeight="1">
      <c r="A646" s="30" t="s">
        <v>2272</v>
      </c>
      <c r="B646" s="30" t="s">
        <v>2273</v>
      </c>
      <c r="C646" s="30" t="s">
        <v>235</v>
      </c>
      <c r="D646" s="30" t="s">
        <v>2012</v>
      </c>
      <c r="E646" s="30" t="s">
        <v>2050</v>
      </c>
      <c r="F646" s="30" t="s">
        <v>2051</v>
      </c>
      <c r="G646" s="30"/>
      <c r="H646" s="30" t="s">
        <v>2774</v>
      </c>
      <c r="I646" s="30" t="s">
        <v>2015</v>
      </c>
      <c r="J646" s="30" t="s">
        <v>2015</v>
      </c>
      <c r="K646" s="30" t="s">
        <v>2099</v>
      </c>
      <c r="L646" s="30" t="s">
        <v>2017</v>
      </c>
      <c r="M646" s="30" t="s">
        <v>2018</v>
      </c>
      <c r="N646" s="30" t="s">
        <v>2099</v>
      </c>
      <c r="O646" s="30" t="s">
        <v>2100</v>
      </c>
      <c r="P646" s="32">
        <v>8856</v>
      </c>
      <c r="Q646" s="32">
        <v>6222</v>
      </c>
      <c r="R646" s="32">
        <v>865</v>
      </c>
      <c r="S646" s="32">
        <v>428</v>
      </c>
      <c r="T646" s="32">
        <v>235</v>
      </c>
      <c r="U646" s="32">
        <v>1395</v>
      </c>
      <c r="V646" s="32">
        <v>907</v>
      </c>
      <c r="W646" s="32">
        <v>474</v>
      </c>
      <c r="X646" s="32">
        <v>2260</v>
      </c>
      <c r="Y646" s="32">
        <v>1335</v>
      </c>
      <c r="Z646" s="32">
        <v>709</v>
      </c>
      <c r="AA646" s="32">
        <v>2456</v>
      </c>
      <c r="AB646" s="32">
        <v>1223</v>
      </c>
      <c r="AC646" s="32">
        <v>672</v>
      </c>
      <c r="AD646" s="32">
        <v>1723</v>
      </c>
      <c r="AE646" s="32">
        <v>1121</v>
      </c>
      <c r="AF646" s="32">
        <v>583</v>
      </c>
      <c r="AG646" s="32">
        <v>4179</v>
      </c>
      <c r="AH646" s="32">
        <v>2344</v>
      </c>
      <c r="AI646" s="32">
        <v>1255</v>
      </c>
      <c r="AJ646" s="32">
        <v>4179</v>
      </c>
      <c r="AK646" s="32">
        <v>8823</v>
      </c>
      <c r="AL646" s="32">
        <v>47.4</v>
      </c>
    </row>
    <row r="647" spans="1:38" ht="13.5" hidden="1" customHeight="1">
      <c r="A647" s="30" t="s">
        <v>2272</v>
      </c>
      <c r="B647" s="30" t="s">
        <v>2273</v>
      </c>
      <c r="C647" s="30" t="s">
        <v>235</v>
      </c>
      <c r="D647" s="30" t="s">
        <v>2012</v>
      </c>
      <c r="E647" s="30" t="s">
        <v>2050</v>
      </c>
      <c r="F647" s="30" t="s">
        <v>2051</v>
      </c>
      <c r="G647" s="30"/>
      <c r="H647" s="30" t="s">
        <v>2775</v>
      </c>
      <c r="I647" s="30" t="s">
        <v>2015</v>
      </c>
      <c r="J647" s="30" t="s">
        <v>2015</v>
      </c>
      <c r="K647" s="30" t="s">
        <v>2018</v>
      </c>
      <c r="L647" s="30" t="s">
        <v>2017</v>
      </c>
      <c r="M647" s="30" t="s">
        <v>2018</v>
      </c>
      <c r="N647" s="30" t="s">
        <v>2018</v>
      </c>
      <c r="O647" s="30" t="s">
        <v>2015</v>
      </c>
      <c r="P647" s="32">
        <v>1584</v>
      </c>
      <c r="Q647" s="32">
        <v>996</v>
      </c>
      <c r="R647" s="32">
        <v>221</v>
      </c>
      <c r="S647" s="32">
        <v>106</v>
      </c>
      <c r="T647" s="32">
        <v>52</v>
      </c>
      <c r="U647" s="32">
        <v>130</v>
      </c>
      <c r="V647" s="32">
        <v>75</v>
      </c>
      <c r="W647" s="32">
        <v>40</v>
      </c>
      <c r="X647" s="32">
        <v>351</v>
      </c>
      <c r="Y647" s="32">
        <v>181</v>
      </c>
      <c r="Z647" s="32">
        <v>92</v>
      </c>
      <c r="AA647" s="32">
        <v>667</v>
      </c>
      <c r="AB647" s="32">
        <v>321</v>
      </c>
      <c r="AC647" s="32">
        <v>157</v>
      </c>
      <c r="AD647" s="32">
        <v>169</v>
      </c>
      <c r="AE647" s="32">
        <v>97</v>
      </c>
      <c r="AF647" s="32">
        <v>52</v>
      </c>
      <c r="AG647" s="32">
        <v>836</v>
      </c>
      <c r="AH647" s="32">
        <v>418</v>
      </c>
      <c r="AI647" s="32">
        <v>209</v>
      </c>
      <c r="AJ647" s="32">
        <v>836</v>
      </c>
      <c r="AK647" s="32">
        <v>1572</v>
      </c>
      <c r="AL647" s="32">
        <v>53.2</v>
      </c>
    </row>
    <row r="648" spans="1:38" ht="13.5" hidden="1" customHeight="1">
      <c r="A648" s="30" t="s">
        <v>2272</v>
      </c>
      <c r="B648" s="30" t="s">
        <v>2273</v>
      </c>
      <c r="C648" s="30" t="s">
        <v>235</v>
      </c>
      <c r="D648" s="30" t="s">
        <v>2012</v>
      </c>
      <c r="E648" s="30" t="s">
        <v>2050</v>
      </c>
      <c r="F648" s="30" t="s">
        <v>2051</v>
      </c>
      <c r="G648" s="30"/>
      <c r="H648" s="30" t="s">
        <v>2221</v>
      </c>
      <c r="I648" s="30" t="s">
        <v>2015</v>
      </c>
      <c r="J648" s="30" t="s">
        <v>2015</v>
      </c>
      <c r="K648" s="30" t="s">
        <v>2018</v>
      </c>
      <c r="L648" s="30" t="s">
        <v>2017</v>
      </c>
      <c r="M648" s="30" t="s">
        <v>2018</v>
      </c>
      <c r="N648" s="30" t="s">
        <v>2018</v>
      </c>
      <c r="O648" s="30" t="s">
        <v>2015</v>
      </c>
      <c r="P648" s="32">
        <v>16822</v>
      </c>
      <c r="Q648" s="32">
        <v>7424</v>
      </c>
      <c r="R648" s="32">
        <v>1371</v>
      </c>
      <c r="S648" s="32">
        <v>788</v>
      </c>
      <c r="T648" s="32">
        <v>359</v>
      </c>
      <c r="U648" s="32">
        <v>1359</v>
      </c>
      <c r="V648" s="32">
        <v>825</v>
      </c>
      <c r="W648" s="32">
        <v>458</v>
      </c>
      <c r="X648" s="32">
        <v>2730</v>
      </c>
      <c r="Y648" s="32">
        <v>1613</v>
      </c>
      <c r="Z648" s="32">
        <v>817</v>
      </c>
      <c r="AA648" s="32">
        <v>4127</v>
      </c>
      <c r="AB648" s="32">
        <v>2358</v>
      </c>
      <c r="AC648" s="32">
        <v>1083</v>
      </c>
      <c r="AD648" s="32">
        <v>1721</v>
      </c>
      <c r="AE648" s="32">
        <v>1050</v>
      </c>
      <c r="AF648" s="32">
        <v>587</v>
      </c>
      <c r="AG648" s="32">
        <v>5848</v>
      </c>
      <c r="AH648" s="32">
        <v>3408</v>
      </c>
      <c r="AI648" s="32">
        <v>1670</v>
      </c>
      <c r="AJ648" s="32">
        <v>5848</v>
      </c>
      <c r="AK648" s="32">
        <v>16582</v>
      </c>
      <c r="AL648" s="32">
        <v>35.299999999999997</v>
      </c>
    </row>
    <row r="649" spans="1:38" ht="13.5" hidden="1" customHeight="1">
      <c r="A649" s="30" t="s">
        <v>2272</v>
      </c>
      <c r="B649" s="30" t="s">
        <v>2273</v>
      </c>
      <c r="C649" s="30" t="s">
        <v>235</v>
      </c>
      <c r="D649" s="30" t="s">
        <v>2012</v>
      </c>
      <c r="E649" s="30" t="s">
        <v>2050</v>
      </c>
      <c r="F649" s="30" t="s">
        <v>2051</v>
      </c>
      <c r="G649" s="30"/>
      <c r="H649" s="30" t="s">
        <v>2776</v>
      </c>
      <c r="I649" s="30" t="s">
        <v>2015</v>
      </c>
      <c r="J649" s="30" t="s">
        <v>2015</v>
      </c>
      <c r="K649" s="30" t="s">
        <v>2018</v>
      </c>
      <c r="L649" s="30" t="s">
        <v>2017</v>
      </c>
      <c r="M649" s="30" t="s">
        <v>2018</v>
      </c>
      <c r="N649" s="30" t="s">
        <v>2018</v>
      </c>
      <c r="O649" s="30" t="s">
        <v>2015</v>
      </c>
      <c r="P649" s="32">
        <v>20806</v>
      </c>
      <c r="Q649" s="32">
        <v>8807</v>
      </c>
      <c r="R649" s="32">
        <v>2389</v>
      </c>
      <c r="S649" s="32">
        <v>1335</v>
      </c>
      <c r="T649" s="32">
        <v>631</v>
      </c>
      <c r="U649" s="32">
        <v>1895</v>
      </c>
      <c r="V649" s="32">
        <v>1325</v>
      </c>
      <c r="W649" s="32">
        <v>766</v>
      </c>
      <c r="X649" s="32">
        <v>4284</v>
      </c>
      <c r="Y649" s="32">
        <v>2660</v>
      </c>
      <c r="Z649" s="32">
        <v>1397</v>
      </c>
      <c r="AA649" s="32">
        <v>7523</v>
      </c>
      <c r="AB649" s="32">
        <v>4211</v>
      </c>
      <c r="AC649" s="32">
        <v>1989</v>
      </c>
      <c r="AD649" s="32">
        <v>2285</v>
      </c>
      <c r="AE649" s="32">
        <v>1592</v>
      </c>
      <c r="AF649" s="32">
        <v>917</v>
      </c>
      <c r="AG649" s="32">
        <v>9808</v>
      </c>
      <c r="AH649" s="32">
        <v>5803</v>
      </c>
      <c r="AI649" s="32">
        <v>2906</v>
      </c>
      <c r="AJ649" s="32">
        <v>9808</v>
      </c>
      <c r="AK649" s="32">
        <v>20519</v>
      </c>
      <c r="AL649" s="32">
        <v>47.8</v>
      </c>
    </row>
    <row r="650" spans="1:38" ht="13.5" hidden="1" customHeight="1">
      <c r="A650" s="30" t="s">
        <v>2272</v>
      </c>
      <c r="B650" s="30" t="s">
        <v>2273</v>
      </c>
      <c r="C650" s="30" t="s">
        <v>235</v>
      </c>
      <c r="D650" s="30" t="s">
        <v>2012</v>
      </c>
      <c r="E650" s="30" t="s">
        <v>2050</v>
      </c>
      <c r="F650" s="30" t="s">
        <v>2051</v>
      </c>
      <c r="G650" s="30"/>
      <c r="H650" s="30" t="s">
        <v>2777</v>
      </c>
      <c r="I650" s="30" t="s">
        <v>2015</v>
      </c>
      <c r="J650" s="30" t="s">
        <v>2015</v>
      </c>
      <c r="K650" s="30" t="s">
        <v>2018</v>
      </c>
      <c r="L650" s="30" t="s">
        <v>2017</v>
      </c>
      <c r="M650" s="30" t="s">
        <v>2018</v>
      </c>
      <c r="N650" s="30" t="s">
        <v>2018</v>
      </c>
      <c r="O650" s="30" t="s">
        <v>2015</v>
      </c>
      <c r="P650" s="32">
        <v>2326</v>
      </c>
      <c r="Q650" s="32">
        <v>1813</v>
      </c>
      <c r="R650" s="32">
        <v>221</v>
      </c>
      <c r="S650" s="32">
        <v>81</v>
      </c>
      <c r="T650" s="32">
        <v>24</v>
      </c>
      <c r="U650" s="32">
        <v>112</v>
      </c>
      <c r="V650" s="32">
        <v>71</v>
      </c>
      <c r="W650" s="32">
        <v>48</v>
      </c>
      <c r="X650" s="32">
        <v>333</v>
      </c>
      <c r="Y650" s="32">
        <v>152</v>
      </c>
      <c r="Z650" s="32">
        <v>72</v>
      </c>
      <c r="AA650" s="32">
        <v>657</v>
      </c>
      <c r="AB650" s="32">
        <v>245</v>
      </c>
      <c r="AC650" s="32">
        <v>72</v>
      </c>
      <c r="AD650" s="32">
        <v>148</v>
      </c>
      <c r="AE650" s="32">
        <v>92</v>
      </c>
      <c r="AF650" s="32">
        <v>62</v>
      </c>
      <c r="AG650" s="32">
        <v>805</v>
      </c>
      <c r="AH650" s="32">
        <v>337</v>
      </c>
      <c r="AI650" s="32">
        <v>134</v>
      </c>
      <c r="AJ650" s="32">
        <v>805</v>
      </c>
      <c r="AK650" s="32">
        <v>2319</v>
      </c>
      <c r="AL650" s="32">
        <v>34.700000000000003</v>
      </c>
    </row>
    <row r="651" spans="1:38" ht="13.5" hidden="1" customHeight="1">
      <c r="A651" s="30" t="s">
        <v>2272</v>
      </c>
      <c r="B651" s="30" t="s">
        <v>2273</v>
      </c>
      <c r="C651" s="30" t="s">
        <v>235</v>
      </c>
      <c r="D651" s="30" t="s">
        <v>2012</v>
      </c>
      <c r="E651" s="30" t="s">
        <v>2050</v>
      </c>
      <c r="F651" s="30" t="s">
        <v>2051</v>
      </c>
      <c r="G651" s="30"/>
      <c r="H651" s="30" t="s">
        <v>2778</v>
      </c>
      <c r="I651" s="30" t="s">
        <v>2015</v>
      </c>
      <c r="J651" s="30" t="s">
        <v>2015</v>
      </c>
      <c r="K651" s="30" t="s">
        <v>2065</v>
      </c>
      <c r="L651" s="30" t="s">
        <v>2066</v>
      </c>
      <c r="M651" s="30" t="s">
        <v>2067</v>
      </c>
      <c r="N651" s="30" t="s">
        <v>2067</v>
      </c>
      <c r="O651" s="30" t="s">
        <v>2068</v>
      </c>
      <c r="P651" s="32">
        <v>6671</v>
      </c>
      <c r="Q651" s="32">
        <v>2488</v>
      </c>
      <c r="R651" s="32">
        <v>541</v>
      </c>
      <c r="S651" s="32">
        <v>202</v>
      </c>
      <c r="T651" s="32">
        <v>71</v>
      </c>
      <c r="U651" s="32">
        <v>322</v>
      </c>
      <c r="V651" s="32">
        <v>215</v>
      </c>
      <c r="W651" s="32">
        <v>76</v>
      </c>
      <c r="X651" s="32">
        <v>863</v>
      </c>
      <c r="Y651" s="32">
        <v>417</v>
      </c>
      <c r="Z651" s="32">
        <v>147</v>
      </c>
      <c r="AA651" s="32">
        <v>1771</v>
      </c>
      <c r="AB651" s="32">
        <v>658</v>
      </c>
      <c r="AC651" s="32">
        <v>227</v>
      </c>
      <c r="AD651" s="32">
        <v>387</v>
      </c>
      <c r="AE651" s="32">
        <v>262</v>
      </c>
      <c r="AF651" s="32">
        <v>92</v>
      </c>
      <c r="AG651" s="32">
        <v>2158</v>
      </c>
      <c r="AH651" s="32">
        <v>920</v>
      </c>
      <c r="AI651" s="32">
        <v>319</v>
      </c>
      <c r="AJ651" s="32">
        <v>2158</v>
      </c>
      <c r="AK651" s="32">
        <v>6635</v>
      </c>
      <c r="AL651" s="32">
        <v>32.5</v>
      </c>
    </row>
    <row r="652" spans="1:38" ht="13.5" hidden="1" customHeight="1">
      <c r="A652" s="30" t="s">
        <v>2272</v>
      </c>
      <c r="B652" s="30" t="s">
        <v>2273</v>
      </c>
      <c r="C652" s="30" t="s">
        <v>235</v>
      </c>
      <c r="D652" s="30" t="s">
        <v>2012</v>
      </c>
      <c r="E652" s="30" t="s">
        <v>2050</v>
      </c>
      <c r="F652" s="30" t="s">
        <v>2051</v>
      </c>
      <c r="G652" s="30"/>
      <c r="H652" s="30" t="s">
        <v>2779</v>
      </c>
      <c r="I652" s="30" t="s">
        <v>2015</v>
      </c>
      <c r="J652" s="30" t="s">
        <v>2015</v>
      </c>
      <c r="K652" s="30" t="s">
        <v>2018</v>
      </c>
      <c r="L652" s="30" t="s">
        <v>2017</v>
      </c>
      <c r="M652" s="30" t="s">
        <v>2018</v>
      </c>
      <c r="N652" s="30" t="s">
        <v>2018</v>
      </c>
      <c r="O652" s="30" t="s">
        <v>2015</v>
      </c>
      <c r="P652" s="32">
        <v>6214</v>
      </c>
      <c r="Q652" s="32">
        <v>2828</v>
      </c>
      <c r="R652" s="32">
        <v>638</v>
      </c>
      <c r="S652" s="32">
        <v>243</v>
      </c>
      <c r="T652" s="32">
        <v>55</v>
      </c>
      <c r="U652" s="32">
        <v>269</v>
      </c>
      <c r="V652" s="32">
        <v>157</v>
      </c>
      <c r="W652" s="32">
        <v>105</v>
      </c>
      <c r="X652" s="32">
        <v>907</v>
      </c>
      <c r="Y652" s="32">
        <v>400</v>
      </c>
      <c r="Z652" s="32">
        <v>160</v>
      </c>
      <c r="AA652" s="32">
        <v>2023</v>
      </c>
      <c r="AB652" s="32">
        <v>773</v>
      </c>
      <c r="AC652" s="32">
        <v>174</v>
      </c>
      <c r="AD652" s="32">
        <v>359</v>
      </c>
      <c r="AE652" s="32">
        <v>207</v>
      </c>
      <c r="AF652" s="32">
        <v>138</v>
      </c>
      <c r="AG652" s="32">
        <v>2382</v>
      </c>
      <c r="AH652" s="32">
        <v>980</v>
      </c>
      <c r="AI652" s="32">
        <v>312</v>
      </c>
      <c r="AJ652" s="32">
        <v>2382</v>
      </c>
      <c r="AK652" s="32">
        <v>6208</v>
      </c>
      <c r="AL652" s="32">
        <v>38.4</v>
      </c>
    </row>
    <row r="653" spans="1:38" ht="13.5" hidden="1" customHeight="1">
      <c r="A653" s="30" t="s">
        <v>2272</v>
      </c>
      <c r="B653" s="30" t="s">
        <v>2273</v>
      </c>
      <c r="C653" s="30" t="s">
        <v>235</v>
      </c>
      <c r="D653" s="30" t="s">
        <v>2012</v>
      </c>
      <c r="E653" s="30" t="s">
        <v>2050</v>
      </c>
      <c r="F653" s="30" t="s">
        <v>2051</v>
      </c>
      <c r="G653" s="30"/>
      <c r="H653" s="30" t="s">
        <v>2780</v>
      </c>
      <c r="I653" s="30" t="s">
        <v>2015</v>
      </c>
      <c r="J653" s="30" t="s">
        <v>2015</v>
      </c>
      <c r="K653" s="30" t="s">
        <v>2018</v>
      </c>
      <c r="L653" s="30" t="s">
        <v>2017</v>
      </c>
      <c r="M653" s="30" t="s">
        <v>2018</v>
      </c>
      <c r="N653" s="30" t="s">
        <v>2018</v>
      </c>
      <c r="O653" s="30" t="s">
        <v>2015</v>
      </c>
      <c r="P653" s="32">
        <v>9400</v>
      </c>
      <c r="Q653" s="32">
        <v>7794</v>
      </c>
      <c r="R653" s="32">
        <v>743</v>
      </c>
      <c r="S653" s="32">
        <v>303</v>
      </c>
      <c r="T653" s="32">
        <v>98</v>
      </c>
      <c r="U653" s="32">
        <v>699</v>
      </c>
      <c r="V653" s="32">
        <v>411</v>
      </c>
      <c r="W653" s="32">
        <v>258</v>
      </c>
      <c r="X653" s="32">
        <v>1442</v>
      </c>
      <c r="Y653" s="32">
        <v>714</v>
      </c>
      <c r="Z653" s="32">
        <v>356</v>
      </c>
      <c r="AA653" s="32">
        <v>2152</v>
      </c>
      <c r="AB653" s="32">
        <v>893</v>
      </c>
      <c r="AC653" s="32">
        <v>283</v>
      </c>
      <c r="AD653" s="32">
        <v>840</v>
      </c>
      <c r="AE653" s="32">
        <v>490</v>
      </c>
      <c r="AF653" s="32">
        <v>303</v>
      </c>
      <c r="AG653" s="32">
        <v>2992</v>
      </c>
      <c r="AH653" s="32">
        <v>1383</v>
      </c>
      <c r="AI653" s="32">
        <v>586</v>
      </c>
      <c r="AJ653" s="32">
        <v>2992</v>
      </c>
      <c r="AK653" s="32">
        <v>9399</v>
      </c>
      <c r="AL653" s="32">
        <v>31.8</v>
      </c>
    </row>
    <row r="654" spans="1:38" ht="13.5" hidden="1" customHeight="1">
      <c r="A654" s="30" t="s">
        <v>2272</v>
      </c>
      <c r="B654" s="30" t="s">
        <v>2273</v>
      </c>
      <c r="C654" s="30" t="s">
        <v>235</v>
      </c>
      <c r="D654" s="30" t="s">
        <v>2012</v>
      </c>
      <c r="E654" s="30" t="s">
        <v>2050</v>
      </c>
      <c r="F654" s="30" t="s">
        <v>2051</v>
      </c>
      <c r="G654" s="30"/>
      <c r="H654" s="30" t="s">
        <v>2781</v>
      </c>
      <c r="I654" s="30" t="s">
        <v>2015</v>
      </c>
      <c r="J654" s="30" t="s">
        <v>2015</v>
      </c>
      <c r="K654" s="30" t="s">
        <v>2065</v>
      </c>
      <c r="L654" s="30" t="s">
        <v>2066</v>
      </c>
      <c r="M654" s="30" t="s">
        <v>2067</v>
      </c>
      <c r="N654" s="30" t="s">
        <v>2067</v>
      </c>
      <c r="O654" s="30" t="s">
        <v>2068</v>
      </c>
      <c r="P654" s="32">
        <v>12854</v>
      </c>
      <c r="Q654" s="32">
        <v>8053</v>
      </c>
      <c r="R654" s="32">
        <v>1024</v>
      </c>
      <c r="S654" s="32">
        <v>451</v>
      </c>
      <c r="T654" s="32">
        <v>121</v>
      </c>
      <c r="U654" s="32">
        <v>872</v>
      </c>
      <c r="V654" s="32">
        <v>543</v>
      </c>
      <c r="W654" s="32">
        <v>311</v>
      </c>
      <c r="X654" s="32">
        <v>1896</v>
      </c>
      <c r="Y654" s="32">
        <v>994</v>
      </c>
      <c r="Z654" s="32">
        <v>432</v>
      </c>
      <c r="AA654" s="32">
        <v>2996</v>
      </c>
      <c r="AB654" s="32">
        <v>1334</v>
      </c>
      <c r="AC654" s="32">
        <v>359</v>
      </c>
      <c r="AD654" s="32">
        <v>1009</v>
      </c>
      <c r="AE654" s="32">
        <v>629</v>
      </c>
      <c r="AF654" s="32">
        <v>364</v>
      </c>
      <c r="AG654" s="32">
        <v>4005</v>
      </c>
      <c r="AH654" s="32">
        <v>1963</v>
      </c>
      <c r="AI654" s="32">
        <v>723</v>
      </c>
      <c r="AJ654" s="32">
        <v>4005</v>
      </c>
      <c r="AK654" s="32">
        <v>12667</v>
      </c>
      <c r="AL654" s="32">
        <v>31.6</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K31"/>
  <sheetViews>
    <sheetView workbookViewId="0">
      <pane ySplit="1" topLeftCell="A2" activePane="bottomLeft" state="frozen"/>
      <selection pane="bottomLeft" activeCell="A2" sqref="A2"/>
    </sheetView>
  </sheetViews>
  <sheetFormatPr baseColWidth="10" defaultColWidth="8.83203125" defaultRowHeight="14" x14ac:dyDescent="0"/>
  <cols>
    <col min="1" max="1" width="8.83203125" style="7"/>
    <col min="2" max="2" width="10.6640625" style="7" bestFit="1" customWidth="1"/>
    <col min="3" max="3" width="40" style="7" bestFit="1" customWidth="1"/>
    <col min="4" max="4" width="13.33203125" style="7" bestFit="1" customWidth="1"/>
    <col min="5" max="5" width="11.1640625" style="7" bestFit="1" customWidth="1"/>
    <col min="6" max="6" width="12.6640625" style="7" bestFit="1" customWidth="1"/>
    <col min="7" max="7" width="27" style="7" bestFit="1" customWidth="1"/>
    <col min="8" max="8" width="14.6640625" style="7" bestFit="1" customWidth="1"/>
    <col min="9" max="9" width="13.6640625" style="7" bestFit="1" customWidth="1"/>
    <col min="10" max="10" width="6" style="7" bestFit="1" customWidth="1"/>
    <col min="11" max="16384" width="8.83203125" style="7"/>
  </cols>
  <sheetData>
    <row r="1" spans="1:10">
      <c r="A1" s="7" t="s">
        <v>1641</v>
      </c>
      <c r="B1" s="5" t="s">
        <v>0</v>
      </c>
      <c r="C1" s="5" t="s">
        <v>1</v>
      </c>
      <c r="D1" s="5" t="s">
        <v>2</v>
      </c>
      <c r="E1" s="5" t="s">
        <v>3</v>
      </c>
      <c r="F1" s="5" t="s">
        <v>4</v>
      </c>
      <c r="G1" s="5" t="s">
        <v>5</v>
      </c>
      <c r="H1" s="5" t="s">
        <v>6</v>
      </c>
      <c r="I1" s="6" t="s">
        <v>7</v>
      </c>
      <c r="J1" s="5" t="s">
        <v>8</v>
      </c>
    </row>
    <row r="2" spans="1:10">
      <c r="A2" s="7" t="s">
        <v>1640</v>
      </c>
      <c r="B2" s="8" t="s">
        <v>9</v>
      </c>
      <c r="C2" s="8" t="s">
        <v>10</v>
      </c>
      <c r="D2" s="7" t="s">
        <v>11</v>
      </c>
      <c r="E2" s="7" t="s">
        <v>12</v>
      </c>
      <c r="F2" s="9" t="s">
        <v>13</v>
      </c>
      <c r="G2" s="8" t="s">
        <v>14</v>
      </c>
      <c r="H2" s="8" t="s">
        <v>15</v>
      </c>
      <c r="I2" s="10" t="s">
        <v>16</v>
      </c>
      <c r="J2" s="11">
        <v>4732</v>
      </c>
    </row>
    <row r="3" spans="1:10">
      <c r="A3" s="7" t="s">
        <v>1640</v>
      </c>
      <c r="B3" s="8" t="s">
        <v>17</v>
      </c>
      <c r="C3" s="8" t="s">
        <v>18</v>
      </c>
      <c r="D3" s="7" t="s">
        <v>19</v>
      </c>
      <c r="E3" s="7" t="s">
        <v>20</v>
      </c>
      <c r="F3" s="9" t="s">
        <v>21</v>
      </c>
      <c r="G3" s="8" t="s">
        <v>22</v>
      </c>
      <c r="H3" s="8" t="s">
        <v>23</v>
      </c>
      <c r="I3" s="10" t="s">
        <v>16</v>
      </c>
      <c r="J3" s="11" t="s">
        <v>24</v>
      </c>
    </row>
    <row r="4" spans="1:10">
      <c r="A4" s="7" t="s">
        <v>1639</v>
      </c>
      <c r="B4" s="8" t="s">
        <v>25</v>
      </c>
      <c r="C4" s="8" t="s">
        <v>26</v>
      </c>
      <c r="D4" s="7" t="s">
        <v>27</v>
      </c>
      <c r="E4" s="7" t="s">
        <v>28</v>
      </c>
      <c r="F4" s="9" t="s">
        <v>29</v>
      </c>
      <c r="G4" s="8" t="s">
        <v>30</v>
      </c>
      <c r="H4" s="8" t="s">
        <v>31</v>
      </c>
      <c r="I4" s="10" t="s">
        <v>16</v>
      </c>
      <c r="J4" s="11">
        <v>4739</v>
      </c>
    </row>
    <row r="5" spans="1:10">
      <c r="A5" s="7" t="s">
        <v>1639</v>
      </c>
      <c r="B5" s="8" t="s">
        <v>32</v>
      </c>
      <c r="C5" s="8" t="s">
        <v>26</v>
      </c>
      <c r="D5" s="7" t="s">
        <v>27</v>
      </c>
      <c r="E5" s="7" t="s">
        <v>28</v>
      </c>
      <c r="F5" s="9" t="s">
        <v>29</v>
      </c>
      <c r="G5" s="8" t="s">
        <v>30</v>
      </c>
      <c r="H5" s="8" t="s">
        <v>31</v>
      </c>
      <c r="I5" s="10" t="s">
        <v>16</v>
      </c>
      <c r="J5" s="11">
        <v>4739</v>
      </c>
    </row>
    <row r="6" spans="1:10">
      <c r="A6" s="7" t="s">
        <v>1640</v>
      </c>
      <c r="B6" s="8" t="s">
        <v>33</v>
      </c>
      <c r="C6" s="8" t="s">
        <v>34</v>
      </c>
      <c r="D6" s="7" t="s">
        <v>35</v>
      </c>
      <c r="E6" s="7" t="s">
        <v>36</v>
      </c>
      <c r="F6" s="9" t="s">
        <v>37</v>
      </c>
      <c r="G6" s="8" t="s">
        <v>38</v>
      </c>
      <c r="H6" s="8" t="s">
        <v>39</v>
      </c>
      <c r="I6" s="10" t="s">
        <v>16</v>
      </c>
      <c r="J6" s="11" t="s">
        <v>40</v>
      </c>
    </row>
    <row r="7" spans="1:10">
      <c r="A7" s="7" t="s">
        <v>1639</v>
      </c>
      <c r="B7" s="8" t="s">
        <v>41</v>
      </c>
      <c r="C7" s="8" t="s">
        <v>42</v>
      </c>
      <c r="D7" s="7" t="s">
        <v>43</v>
      </c>
      <c r="E7" s="7" t="s">
        <v>44</v>
      </c>
      <c r="F7" s="9" t="s">
        <v>45</v>
      </c>
      <c r="G7" s="8" t="s">
        <v>46</v>
      </c>
      <c r="H7" s="8" t="s">
        <v>47</v>
      </c>
      <c r="I7" s="10" t="s">
        <v>16</v>
      </c>
      <c r="J7" s="11" t="s">
        <v>48</v>
      </c>
    </row>
    <row r="8" spans="1:10">
      <c r="A8" s="7" t="s">
        <v>1639</v>
      </c>
      <c r="B8" s="8" t="s">
        <v>49</v>
      </c>
      <c r="C8" s="8" t="s">
        <v>50</v>
      </c>
      <c r="D8" s="7" t="s">
        <v>51</v>
      </c>
      <c r="E8" s="7" t="s">
        <v>52</v>
      </c>
      <c r="F8" s="9" t="s">
        <v>53</v>
      </c>
      <c r="G8" s="8" t="s">
        <v>54</v>
      </c>
      <c r="H8" s="8" t="s">
        <v>55</v>
      </c>
      <c r="I8" s="10" t="s">
        <v>16</v>
      </c>
      <c r="J8" s="11" t="s">
        <v>56</v>
      </c>
    </row>
    <row r="9" spans="1:10">
      <c r="A9" s="7" t="s">
        <v>1639</v>
      </c>
      <c r="B9" s="8" t="s">
        <v>57</v>
      </c>
      <c r="C9" s="8" t="s">
        <v>58</v>
      </c>
      <c r="D9" s="7" t="s">
        <v>59</v>
      </c>
      <c r="E9" s="7" t="s">
        <v>60</v>
      </c>
      <c r="F9" s="9" t="s">
        <v>61</v>
      </c>
      <c r="G9" s="8" t="s">
        <v>62</v>
      </c>
      <c r="H9" s="8" t="s">
        <v>63</v>
      </c>
      <c r="I9" s="10" t="s">
        <v>16</v>
      </c>
      <c r="J9" s="11" t="s">
        <v>64</v>
      </c>
    </row>
    <row r="10" spans="1:10">
      <c r="A10" s="7" t="s">
        <v>1640</v>
      </c>
      <c r="B10" s="8" t="s">
        <v>65</v>
      </c>
      <c r="C10" s="8" t="s">
        <v>66</v>
      </c>
      <c r="D10" s="7" t="s">
        <v>67</v>
      </c>
      <c r="E10" s="7" t="s">
        <v>68</v>
      </c>
      <c r="F10" s="9" t="s">
        <v>69</v>
      </c>
      <c r="G10" s="8" t="s">
        <v>70</v>
      </c>
      <c r="H10" s="8" t="s">
        <v>71</v>
      </c>
      <c r="I10" s="10" t="s">
        <v>16</v>
      </c>
      <c r="J10" s="11" t="s">
        <v>72</v>
      </c>
    </row>
    <row r="11" spans="1:10">
      <c r="A11" s="7" t="s">
        <v>1640</v>
      </c>
      <c r="B11" s="8" t="s">
        <v>73</v>
      </c>
      <c r="C11" s="8" t="s">
        <v>74</v>
      </c>
      <c r="D11" s="7" t="s">
        <v>75</v>
      </c>
      <c r="E11" s="7" t="s">
        <v>76</v>
      </c>
      <c r="F11" s="9" t="s">
        <v>77</v>
      </c>
      <c r="G11" s="8" t="s">
        <v>78</v>
      </c>
      <c r="H11" s="8" t="s">
        <v>79</v>
      </c>
      <c r="I11" s="10" t="s">
        <v>16</v>
      </c>
      <c r="J11" s="11" t="s">
        <v>80</v>
      </c>
    </row>
    <row r="12" spans="1:10">
      <c r="A12" s="7" t="s">
        <v>1639</v>
      </c>
      <c r="B12" s="8" t="s">
        <v>81</v>
      </c>
      <c r="C12" s="8" t="s">
        <v>82</v>
      </c>
      <c r="D12" s="7" t="s">
        <v>83</v>
      </c>
      <c r="E12" s="7" t="s">
        <v>84</v>
      </c>
      <c r="F12" s="9" t="s">
        <v>85</v>
      </c>
      <c r="G12" s="8" t="s">
        <v>86</v>
      </c>
      <c r="H12" s="8" t="s">
        <v>79</v>
      </c>
      <c r="I12" s="10" t="s">
        <v>16</v>
      </c>
      <c r="J12" s="11">
        <v>4750</v>
      </c>
    </row>
    <row r="13" spans="1:10">
      <c r="A13" s="7" t="s">
        <v>1640</v>
      </c>
      <c r="B13" s="8" t="s">
        <v>87</v>
      </c>
      <c r="C13" s="8" t="s">
        <v>88</v>
      </c>
      <c r="D13" s="7" t="s">
        <v>89</v>
      </c>
      <c r="E13" s="7" t="s">
        <v>90</v>
      </c>
      <c r="F13" s="9" t="s">
        <v>91</v>
      </c>
      <c r="G13" s="8" t="s">
        <v>92</v>
      </c>
      <c r="H13" s="8" t="s">
        <v>93</v>
      </c>
      <c r="I13" s="10" t="s">
        <v>16</v>
      </c>
      <c r="J13" s="11" t="s">
        <v>94</v>
      </c>
    </row>
    <row r="14" spans="1:10">
      <c r="A14" s="7" t="s">
        <v>1639</v>
      </c>
      <c r="B14" s="8" t="s">
        <v>95</v>
      </c>
      <c r="C14" s="8" t="s">
        <v>96</v>
      </c>
      <c r="D14" s="7" t="s">
        <v>97</v>
      </c>
      <c r="E14" s="7" t="s">
        <v>98</v>
      </c>
      <c r="F14" s="9" t="s">
        <v>99</v>
      </c>
      <c r="G14" s="8" t="s">
        <v>100</v>
      </c>
      <c r="H14" s="8" t="s">
        <v>101</v>
      </c>
      <c r="I14" s="10" t="s">
        <v>16</v>
      </c>
      <c r="J14" s="11" t="s">
        <v>102</v>
      </c>
    </row>
    <row r="15" spans="1:10">
      <c r="A15" s="7" t="s">
        <v>1639</v>
      </c>
      <c r="B15" s="8" t="s">
        <v>103</v>
      </c>
      <c r="C15" s="8" t="s">
        <v>104</v>
      </c>
      <c r="D15" s="7" t="s">
        <v>89</v>
      </c>
      <c r="E15" s="7" t="s">
        <v>105</v>
      </c>
      <c r="F15" s="9" t="s">
        <v>106</v>
      </c>
      <c r="G15" s="8" t="s">
        <v>107</v>
      </c>
      <c r="H15" s="8" t="s">
        <v>108</v>
      </c>
      <c r="I15" s="10" t="s">
        <v>16</v>
      </c>
      <c r="J15" s="11" t="s">
        <v>109</v>
      </c>
    </row>
    <row r="16" spans="1:10">
      <c r="A16" s="7" t="s">
        <v>1639</v>
      </c>
      <c r="B16" s="8" t="s">
        <v>110</v>
      </c>
      <c r="C16" s="8" t="s">
        <v>111</v>
      </c>
      <c r="D16" s="7" t="s">
        <v>112</v>
      </c>
      <c r="E16" s="7" t="s">
        <v>113</v>
      </c>
      <c r="F16" s="9" t="s">
        <v>114</v>
      </c>
      <c r="G16" s="8" t="s">
        <v>115</v>
      </c>
      <c r="H16" s="8" t="s">
        <v>55</v>
      </c>
      <c r="I16" s="10" t="s">
        <v>16</v>
      </c>
      <c r="J16" s="11">
        <v>4769</v>
      </c>
    </row>
    <row r="17" spans="1:11">
      <c r="A17" s="7" t="s">
        <v>1639</v>
      </c>
      <c r="B17" s="8" t="s">
        <v>116</v>
      </c>
      <c r="C17" s="8" t="s">
        <v>111</v>
      </c>
      <c r="D17" s="7" t="s">
        <v>117</v>
      </c>
      <c r="E17" s="7" t="s">
        <v>118</v>
      </c>
      <c r="F17" s="9"/>
      <c r="G17" s="8" t="s">
        <v>115</v>
      </c>
      <c r="H17" s="8" t="s">
        <v>55</v>
      </c>
      <c r="I17" s="10" t="s">
        <v>16</v>
      </c>
      <c r="J17" s="11">
        <v>4769</v>
      </c>
    </row>
    <row r="18" spans="1:11">
      <c r="A18" s="7" t="s">
        <v>1639</v>
      </c>
      <c r="B18" s="8" t="s">
        <v>119</v>
      </c>
      <c r="C18" s="8" t="s">
        <v>120</v>
      </c>
      <c r="D18" s="7" t="s">
        <v>121</v>
      </c>
      <c r="E18" s="7" t="s">
        <v>122</v>
      </c>
      <c r="F18" s="9" t="s">
        <v>123</v>
      </c>
      <c r="G18" s="8" t="s">
        <v>124</v>
      </c>
      <c r="H18" s="8" t="s">
        <v>55</v>
      </c>
      <c r="I18" s="10" t="s">
        <v>16</v>
      </c>
      <c r="J18" s="11" t="s">
        <v>56</v>
      </c>
    </row>
    <row r="19" spans="1:11">
      <c r="A19" s="7" t="s">
        <v>1639</v>
      </c>
      <c r="B19" s="8" t="s">
        <v>125</v>
      </c>
      <c r="C19" s="8" t="s">
        <v>126</v>
      </c>
      <c r="D19" s="7" t="s">
        <v>127</v>
      </c>
      <c r="E19" s="7" t="s">
        <v>128</v>
      </c>
      <c r="F19" s="9" t="s">
        <v>129</v>
      </c>
      <c r="G19" s="8" t="s">
        <v>130</v>
      </c>
      <c r="H19" s="8" t="s">
        <v>131</v>
      </c>
      <c r="I19" s="10" t="s">
        <v>16</v>
      </c>
      <c r="J19" s="11" t="s">
        <v>132</v>
      </c>
    </row>
    <row r="20" spans="1:11">
      <c r="A20" s="7" t="s">
        <v>1639</v>
      </c>
      <c r="B20" s="8" t="s">
        <v>133</v>
      </c>
      <c r="C20" s="8" t="s">
        <v>134</v>
      </c>
      <c r="D20" s="7" t="s">
        <v>59</v>
      </c>
      <c r="E20" s="7" t="s">
        <v>60</v>
      </c>
      <c r="F20" s="9" t="s">
        <v>135</v>
      </c>
      <c r="G20" s="8" t="s">
        <v>136</v>
      </c>
      <c r="H20" s="8" t="s">
        <v>137</v>
      </c>
      <c r="I20" s="10" t="s">
        <v>16</v>
      </c>
      <c r="J20" s="11" t="s">
        <v>138</v>
      </c>
    </row>
    <row r="21" spans="1:11">
      <c r="A21" s="7" t="s">
        <v>1639</v>
      </c>
      <c r="B21" s="8" t="s">
        <v>139</v>
      </c>
      <c r="C21" s="8" t="s">
        <v>140</v>
      </c>
      <c r="D21" s="7" t="s">
        <v>141</v>
      </c>
      <c r="E21" s="7" t="s">
        <v>142</v>
      </c>
      <c r="F21" s="9" t="s">
        <v>143</v>
      </c>
      <c r="G21" s="8" t="s">
        <v>144</v>
      </c>
      <c r="H21" s="8" t="s">
        <v>145</v>
      </c>
      <c r="I21" s="10" t="s">
        <v>16</v>
      </c>
      <c r="J21" s="11" t="s">
        <v>146</v>
      </c>
    </row>
    <row r="22" spans="1:11">
      <c r="A22" s="7" t="s">
        <v>1640</v>
      </c>
      <c r="B22" s="8" t="s">
        <v>147</v>
      </c>
      <c r="C22" s="8" t="s">
        <v>148</v>
      </c>
      <c r="D22" s="7" t="s">
        <v>149</v>
      </c>
      <c r="E22" s="7" t="s">
        <v>150</v>
      </c>
      <c r="F22" s="9" t="s">
        <v>151</v>
      </c>
      <c r="G22" s="8" t="s">
        <v>152</v>
      </c>
      <c r="H22" s="8" t="s">
        <v>153</v>
      </c>
      <c r="I22" s="10" t="s">
        <v>16</v>
      </c>
      <c r="J22" s="11" t="s">
        <v>154</v>
      </c>
    </row>
    <row r="24" spans="1:11">
      <c r="A24" s="7" t="s">
        <v>1639</v>
      </c>
      <c r="B24" s="8" t="s">
        <v>155</v>
      </c>
      <c r="C24" s="8" t="s">
        <v>156</v>
      </c>
      <c r="D24" s="7" t="s">
        <v>75</v>
      </c>
      <c r="E24" s="7" t="s">
        <v>157</v>
      </c>
      <c r="F24" s="9" t="s">
        <v>158</v>
      </c>
      <c r="G24" s="8" t="s">
        <v>159</v>
      </c>
      <c r="H24" s="8" t="s">
        <v>160</v>
      </c>
      <c r="I24" s="10" t="s">
        <v>161</v>
      </c>
      <c r="J24" s="11" t="s">
        <v>162</v>
      </c>
      <c r="K24" s="11"/>
    </row>
    <row r="25" spans="1:11">
      <c r="A25" s="7" t="s">
        <v>1639</v>
      </c>
      <c r="B25" s="8" t="s">
        <v>163</v>
      </c>
      <c r="C25" s="8" t="s">
        <v>164</v>
      </c>
      <c r="D25" s="7" t="s">
        <v>165</v>
      </c>
      <c r="E25" s="7" t="s">
        <v>166</v>
      </c>
      <c r="F25" s="9" t="s">
        <v>167</v>
      </c>
      <c r="G25" s="8" t="s">
        <v>168</v>
      </c>
      <c r="H25" s="8" t="s">
        <v>169</v>
      </c>
      <c r="I25" s="10" t="s">
        <v>161</v>
      </c>
      <c r="J25" s="11">
        <v>4424</v>
      </c>
      <c r="K25" s="11"/>
    </row>
    <row r="26" spans="1:11">
      <c r="A26" s="7" t="s">
        <v>1639</v>
      </c>
      <c r="B26" s="8" t="s">
        <v>170</v>
      </c>
      <c r="C26" s="8" t="s">
        <v>171</v>
      </c>
      <c r="D26" s="7" t="s">
        <v>172</v>
      </c>
      <c r="E26" s="7" t="s">
        <v>173</v>
      </c>
      <c r="F26" s="9" t="s">
        <v>174</v>
      </c>
      <c r="G26" s="8" t="s">
        <v>175</v>
      </c>
      <c r="H26" s="8" t="s">
        <v>176</v>
      </c>
      <c r="I26" s="10" t="s">
        <v>161</v>
      </c>
      <c r="J26" s="11" t="s">
        <v>177</v>
      </c>
      <c r="K26" s="11"/>
    </row>
    <row r="27" spans="1:11">
      <c r="A27" s="7" t="s">
        <v>1639</v>
      </c>
      <c r="B27" s="8" t="s">
        <v>178</v>
      </c>
      <c r="C27" s="8" t="s">
        <v>179</v>
      </c>
      <c r="D27" s="7" t="s">
        <v>180</v>
      </c>
      <c r="E27" s="7" t="s">
        <v>181</v>
      </c>
      <c r="F27" s="9" t="s">
        <v>182</v>
      </c>
      <c r="G27" s="8" t="s">
        <v>183</v>
      </c>
      <c r="H27" s="8" t="s">
        <v>184</v>
      </c>
      <c r="I27" s="10" t="s">
        <v>161</v>
      </c>
      <c r="J27" s="11" t="s">
        <v>185</v>
      </c>
      <c r="K27" s="11"/>
    </row>
    <row r="28" spans="1:11">
      <c r="A28" s="7" t="s">
        <v>1639</v>
      </c>
      <c r="B28" s="8" t="s">
        <v>186</v>
      </c>
      <c r="C28" s="8" t="s">
        <v>187</v>
      </c>
      <c r="D28" s="7" t="s">
        <v>188</v>
      </c>
      <c r="E28" s="7" t="s">
        <v>189</v>
      </c>
      <c r="F28" s="9" t="s">
        <v>190</v>
      </c>
      <c r="G28" s="8" t="s">
        <v>191</v>
      </c>
      <c r="H28" s="8" t="s">
        <v>192</v>
      </c>
      <c r="I28" s="10" t="s">
        <v>161</v>
      </c>
      <c r="J28" s="11" t="s">
        <v>193</v>
      </c>
      <c r="K28" s="11"/>
    </row>
    <row r="29" spans="1:11" s="12" customFormat="1">
      <c r="A29" s="7" t="s">
        <v>1639</v>
      </c>
      <c r="B29" s="8" t="s">
        <v>194</v>
      </c>
      <c r="C29" s="8" t="s">
        <v>195</v>
      </c>
      <c r="D29" s="7" t="s">
        <v>196</v>
      </c>
      <c r="E29" s="7" t="s">
        <v>197</v>
      </c>
      <c r="F29" s="9" t="s">
        <v>198</v>
      </c>
      <c r="G29" s="8" t="s">
        <v>199</v>
      </c>
      <c r="H29" s="8" t="s">
        <v>200</v>
      </c>
      <c r="I29" s="10" t="s">
        <v>161</v>
      </c>
      <c r="J29" s="11" t="s">
        <v>201</v>
      </c>
      <c r="K29" s="11"/>
    </row>
    <row r="30" spans="1:11">
      <c r="A30" s="7" t="s">
        <v>1639</v>
      </c>
      <c r="B30" s="8" t="s">
        <v>202</v>
      </c>
      <c r="C30" s="8" t="s">
        <v>203</v>
      </c>
      <c r="D30" s="7" t="s">
        <v>204</v>
      </c>
      <c r="E30" s="7" t="s">
        <v>205</v>
      </c>
      <c r="F30" s="9" t="s">
        <v>206</v>
      </c>
      <c r="G30" s="8" t="s">
        <v>207</v>
      </c>
      <c r="H30" s="8" t="s">
        <v>208</v>
      </c>
      <c r="I30" s="10" t="s">
        <v>161</v>
      </c>
      <c r="J30" s="11" t="s">
        <v>209</v>
      </c>
      <c r="K30" s="11"/>
    </row>
    <row r="31" spans="1:11">
      <c r="A31" s="7" t="s">
        <v>1640</v>
      </c>
      <c r="B31" s="8" t="s">
        <v>210</v>
      </c>
      <c r="C31" s="8" t="s">
        <v>211</v>
      </c>
      <c r="D31" s="7" t="s">
        <v>212</v>
      </c>
      <c r="E31" s="7" t="s">
        <v>213</v>
      </c>
      <c r="F31" s="9" t="s">
        <v>214</v>
      </c>
      <c r="G31" s="8" t="s">
        <v>215</v>
      </c>
      <c r="H31" s="8" t="s">
        <v>176</v>
      </c>
      <c r="I31" s="10" t="s">
        <v>161</v>
      </c>
      <c r="J31" s="11" t="s">
        <v>177</v>
      </c>
      <c r="K31" s="11"/>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N255"/>
  <sheetViews>
    <sheetView workbookViewId="0">
      <pane ySplit="1" topLeftCell="A2" activePane="bottomLeft" state="frozen"/>
      <selection pane="bottomLeft" activeCell="E147" sqref="E147"/>
    </sheetView>
  </sheetViews>
  <sheetFormatPr baseColWidth="10" defaultColWidth="8.83203125" defaultRowHeight="14" x14ac:dyDescent="0"/>
  <cols>
    <col min="1" max="1" width="11.1640625" customWidth="1"/>
    <col min="2" max="2" width="10.6640625" bestFit="1" customWidth="1"/>
    <col min="3" max="3" width="45" bestFit="1" customWidth="1"/>
    <col min="4" max="4" width="33.33203125" bestFit="1" customWidth="1"/>
    <col min="5" max="5" width="12.6640625" bestFit="1" customWidth="1"/>
    <col min="6" max="6" width="21" bestFit="1" customWidth="1"/>
    <col min="7" max="7" width="15.83203125" bestFit="1" customWidth="1"/>
    <col min="8" max="8" width="42.83203125" bestFit="1" customWidth="1"/>
    <col min="9" max="9" width="40.5" bestFit="1" customWidth="1"/>
    <col min="10" max="10" width="24.5" bestFit="1" customWidth="1"/>
    <col min="11" max="11" width="6.33203125" bestFit="1" customWidth="1"/>
    <col min="12" max="12" width="10.6640625" bestFit="1" customWidth="1"/>
    <col min="13" max="13" width="12.5" bestFit="1" customWidth="1"/>
    <col min="14" max="14" width="35.33203125" bestFit="1" customWidth="1"/>
  </cols>
  <sheetData>
    <row r="1" spans="1:14" s="1" customFormat="1">
      <c r="A1" s="1" t="s">
        <v>1638</v>
      </c>
      <c r="B1" s="1" t="s">
        <v>216</v>
      </c>
      <c r="C1" s="1" t="s">
        <v>217</v>
      </c>
      <c r="D1" s="1" t="s">
        <v>218</v>
      </c>
      <c r="E1" s="1" t="s">
        <v>219</v>
      </c>
      <c r="F1" s="1" t="s">
        <v>220</v>
      </c>
      <c r="G1" s="1" t="s">
        <v>221</v>
      </c>
      <c r="H1" s="1" t="s">
        <v>222</v>
      </c>
      <c r="I1" s="1" t="s">
        <v>223</v>
      </c>
      <c r="J1" s="1" t="s">
        <v>224</v>
      </c>
      <c r="K1" s="1" t="s">
        <v>225</v>
      </c>
      <c r="L1" s="1" t="s">
        <v>226</v>
      </c>
      <c r="M1" s="1" t="s">
        <v>227</v>
      </c>
      <c r="N1" s="1" t="s">
        <v>228</v>
      </c>
    </row>
    <row r="2" spans="1:14" s="4" customFormat="1">
      <c r="A2" s="4" t="s">
        <v>1639</v>
      </c>
      <c r="B2" s="4" t="s">
        <v>239</v>
      </c>
      <c r="C2" s="4" t="s">
        <v>240</v>
      </c>
      <c r="D2" s="4" t="s">
        <v>241</v>
      </c>
      <c r="E2" s="4">
        <v>90</v>
      </c>
      <c r="F2" s="4" t="s">
        <v>23</v>
      </c>
      <c r="G2" s="4" t="s">
        <v>16</v>
      </c>
      <c r="H2" s="4" t="s">
        <v>242</v>
      </c>
      <c r="I2" s="4" t="s">
        <v>243</v>
      </c>
      <c r="J2" s="4" t="s">
        <v>23</v>
      </c>
      <c r="K2" s="4" t="s">
        <v>235</v>
      </c>
      <c r="L2" s="4" t="s">
        <v>24</v>
      </c>
      <c r="M2" s="4" t="s">
        <v>244</v>
      </c>
    </row>
    <row r="3" spans="1:14" s="4" customFormat="1">
      <c r="A3" s="4" t="s">
        <v>1640</v>
      </c>
      <c r="B3" s="4" t="s">
        <v>276</v>
      </c>
      <c r="C3" s="4" t="s">
        <v>10</v>
      </c>
      <c r="D3" s="4" t="s">
        <v>241</v>
      </c>
      <c r="E3" s="4">
        <v>808</v>
      </c>
      <c r="F3" s="4" t="s">
        <v>15</v>
      </c>
      <c r="G3" s="4" t="s">
        <v>16</v>
      </c>
      <c r="H3" s="4" t="s">
        <v>277</v>
      </c>
      <c r="I3" s="4" t="s">
        <v>14</v>
      </c>
      <c r="J3" s="4" t="s">
        <v>15</v>
      </c>
      <c r="K3" s="4" t="s">
        <v>235</v>
      </c>
      <c r="L3" s="4" t="s">
        <v>278</v>
      </c>
      <c r="M3" s="4" t="s">
        <v>279</v>
      </c>
      <c r="N3" s="4" t="s">
        <v>280</v>
      </c>
    </row>
    <row r="4" spans="1:14" s="4" customFormat="1">
      <c r="A4" s="4" t="s">
        <v>1639</v>
      </c>
      <c r="B4" s="4" t="s">
        <v>349</v>
      </c>
      <c r="C4" s="4" t="s">
        <v>350</v>
      </c>
      <c r="D4" s="4" t="s">
        <v>241</v>
      </c>
      <c r="E4" s="4">
        <v>95</v>
      </c>
      <c r="F4" s="4" t="s">
        <v>23</v>
      </c>
      <c r="G4" s="4" t="s">
        <v>16</v>
      </c>
      <c r="H4" s="4" t="s">
        <v>351</v>
      </c>
      <c r="I4" s="4" t="s">
        <v>352</v>
      </c>
      <c r="J4" s="4" t="s">
        <v>353</v>
      </c>
      <c r="K4" s="4" t="s">
        <v>235</v>
      </c>
      <c r="L4" s="4" t="s">
        <v>354</v>
      </c>
      <c r="M4" s="4" t="s">
        <v>355</v>
      </c>
    </row>
    <row r="5" spans="1:14" s="4" customFormat="1">
      <c r="A5" s="4" t="s">
        <v>1639</v>
      </c>
      <c r="B5" s="4" t="s">
        <v>356</v>
      </c>
      <c r="C5" s="4" t="s">
        <v>357</v>
      </c>
      <c r="D5" s="4" t="s">
        <v>241</v>
      </c>
      <c r="E5" s="4">
        <v>103</v>
      </c>
      <c r="F5" s="4" t="s">
        <v>23</v>
      </c>
      <c r="G5" s="4" t="s">
        <v>16</v>
      </c>
      <c r="H5" s="4" t="s">
        <v>358</v>
      </c>
      <c r="I5" s="4" t="s">
        <v>359</v>
      </c>
      <c r="J5" s="4" t="s">
        <v>23</v>
      </c>
      <c r="K5" s="4" t="s">
        <v>235</v>
      </c>
      <c r="L5" s="4" t="s">
        <v>24</v>
      </c>
      <c r="M5" s="4" t="s">
        <v>360</v>
      </c>
      <c r="N5" s="4" t="s">
        <v>361</v>
      </c>
    </row>
    <row r="6" spans="1:14" s="4" customFormat="1">
      <c r="A6" s="4" t="s">
        <v>1639</v>
      </c>
      <c r="B6" s="4" t="s">
        <v>362</v>
      </c>
      <c r="C6" s="4" t="s">
        <v>18</v>
      </c>
      <c r="D6" s="4" t="s">
        <v>241</v>
      </c>
      <c r="E6" s="4">
        <v>4323</v>
      </c>
      <c r="F6" s="4" t="s">
        <v>23</v>
      </c>
      <c r="G6" s="4" t="s">
        <v>16</v>
      </c>
      <c r="H6" s="4" t="s">
        <v>363</v>
      </c>
      <c r="I6" s="4" t="s">
        <v>22</v>
      </c>
      <c r="J6" s="4" t="s">
        <v>23</v>
      </c>
      <c r="K6" s="4" t="s">
        <v>235</v>
      </c>
      <c r="L6" s="4" t="s">
        <v>24</v>
      </c>
      <c r="M6" s="4" t="s">
        <v>364</v>
      </c>
      <c r="N6" s="4" t="s">
        <v>365</v>
      </c>
    </row>
    <row r="7" spans="1:14" s="4" customFormat="1">
      <c r="A7" s="4" t="s">
        <v>1639</v>
      </c>
      <c r="B7" s="4" t="s">
        <v>390</v>
      </c>
      <c r="C7" s="4" t="s">
        <v>391</v>
      </c>
      <c r="D7" s="4" t="s">
        <v>241</v>
      </c>
      <c r="E7" s="4">
        <v>55</v>
      </c>
      <c r="F7" s="4" t="s">
        <v>71</v>
      </c>
      <c r="G7" s="4" t="s">
        <v>16</v>
      </c>
      <c r="H7" s="4" t="s">
        <v>392</v>
      </c>
      <c r="I7" s="4" t="s">
        <v>393</v>
      </c>
      <c r="J7" s="4" t="s">
        <v>71</v>
      </c>
      <c r="K7" s="4" t="s">
        <v>235</v>
      </c>
      <c r="L7" s="4" t="s">
        <v>72</v>
      </c>
      <c r="M7" s="4" t="s">
        <v>394</v>
      </c>
    </row>
    <row r="8" spans="1:14" s="4" customFormat="1">
      <c r="A8" s="4" t="s">
        <v>1639</v>
      </c>
      <c r="B8" s="4" t="s">
        <v>416</v>
      </c>
      <c r="C8" s="4" t="s">
        <v>417</v>
      </c>
      <c r="D8" s="4" t="s">
        <v>241</v>
      </c>
      <c r="E8" s="4">
        <v>90</v>
      </c>
      <c r="F8" s="4" t="s">
        <v>23</v>
      </c>
      <c r="G8" s="4" t="s">
        <v>16</v>
      </c>
      <c r="H8" s="4" t="s">
        <v>418</v>
      </c>
      <c r="I8" s="4" t="s">
        <v>419</v>
      </c>
      <c r="J8" s="4" t="s">
        <v>55</v>
      </c>
      <c r="K8" s="4" t="s">
        <v>235</v>
      </c>
      <c r="L8" s="4" t="s">
        <v>56</v>
      </c>
      <c r="M8" s="4" t="s">
        <v>420</v>
      </c>
      <c r="N8" s="4" t="s">
        <v>421</v>
      </c>
    </row>
    <row r="9" spans="1:14" s="4" customFormat="1">
      <c r="A9" s="4" t="s">
        <v>1639</v>
      </c>
      <c r="B9" s="4" t="s">
        <v>434</v>
      </c>
      <c r="C9" s="4" t="s">
        <v>435</v>
      </c>
      <c r="D9" s="4" t="s">
        <v>241</v>
      </c>
      <c r="E9" s="4">
        <v>678</v>
      </c>
      <c r="F9" s="4" t="s">
        <v>31</v>
      </c>
      <c r="G9" s="4" t="s">
        <v>16</v>
      </c>
      <c r="H9" s="4" t="s">
        <v>436</v>
      </c>
      <c r="I9" s="4" t="s">
        <v>30</v>
      </c>
      <c r="J9" s="4" t="s">
        <v>31</v>
      </c>
      <c r="K9" s="4" t="s">
        <v>235</v>
      </c>
      <c r="L9" s="4" t="s">
        <v>306</v>
      </c>
      <c r="M9" s="4" t="s">
        <v>437</v>
      </c>
      <c r="N9" s="4" t="s">
        <v>438</v>
      </c>
    </row>
    <row r="10" spans="1:14" s="4" customFormat="1">
      <c r="A10" s="4" t="s">
        <v>1639</v>
      </c>
      <c r="B10" s="4" t="s">
        <v>471</v>
      </c>
      <c r="C10" s="4" t="s">
        <v>472</v>
      </c>
      <c r="D10" s="4" t="s">
        <v>241</v>
      </c>
      <c r="E10" s="4">
        <v>125</v>
      </c>
      <c r="F10" s="4" t="s">
        <v>232</v>
      </c>
      <c r="G10" s="4" t="s">
        <v>16</v>
      </c>
      <c r="H10" s="4" t="s">
        <v>473</v>
      </c>
      <c r="I10" s="4" t="s">
        <v>474</v>
      </c>
      <c r="J10" s="4" t="s">
        <v>232</v>
      </c>
      <c r="K10" s="4" t="s">
        <v>235</v>
      </c>
      <c r="L10" s="4" t="s">
        <v>236</v>
      </c>
      <c r="M10" s="4" t="s">
        <v>475</v>
      </c>
      <c r="N10" s="4" t="s">
        <v>476</v>
      </c>
    </row>
    <row r="11" spans="1:14" s="4" customFormat="1">
      <c r="A11" s="4" t="s">
        <v>1640</v>
      </c>
      <c r="B11" s="4" t="s">
        <v>477</v>
      </c>
      <c r="C11" s="4" t="s">
        <v>478</v>
      </c>
      <c r="D11" s="4" t="s">
        <v>241</v>
      </c>
      <c r="E11" s="4">
        <v>2135</v>
      </c>
      <c r="F11" s="4" t="s">
        <v>39</v>
      </c>
      <c r="G11" s="4" t="s">
        <v>16</v>
      </c>
      <c r="H11" s="4" t="s">
        <v>479</v>
      </c>
      <c r="I11" s="4" t="s">
        <v>38</v>
      </c>
      <c r="J11" s="4" t="s">
        <v>39</v>
      </c>
      <c r="K11" s="4" t="s">
        <v>235</v>
      </c>
      <c r="L11" s="4" t="s">
        <v>40</v>
      </c>
      <c r="M11" s="4" t="s">
        <v>480</v>
      </c>
      <c r="N11" s="4" t="s">
        <v>481</v>
      </c>
    </row>
    <row r="12" spans="1:14" s="4" customFormat="1">
      <c r="A12" s="4" t="s">
        <v>1639</v>
      </c>
      <c r="B12" s="4" t="s">
        <v>487</v>
      </c>
      <c r="C12" s="4" t="s">
        <v>488</v>
      </c>
      <c r="D12" s="4" t="s">
        <v>241</v>
      </c>
      <c r="E12" s="4">
        <v>1268</v>
      </c>
      <c r="F12" s="4" t="s">
        <v>232</v>
      </c>
      <c r="G12" s="4" t="s">
        <v>16</v>
      </c>
      <c r="H12" s="4" t="s">
        <v>489</v>
      </c>
      <c r="I12" s="4" t="s">
        <v>490</v>
      </c>
      <c r="J12" s="4" t="s">
        <v>232</v>
      </c>
      <c r="K12" s="4" t="s">
        <v>235</v>
      </c>
      <c r="L12" s="4" t="s">
        <v>236</v>
      </c>
      <c r="M12" s="4" t="s">
        <v>491</v>
      </c>
      <c r="N12" s="4" t="s">
        <v>492</v>
      </c>
    </row>
    <row r="13" spans="1:14" s="4" customFormat="1">
      <c r="A13" s="4" t="s">
        <v>1639</v>
      </c>
      <c r="B13" s="4" t="s">
        <v>497</v>
      </c>
      <c r="C13" s="4" t="s">
        <v>498</v>
      </c>
      <c r="D13" s="4" t="s">
        <v>241</v>
      </c>
      <c r="E13" s="4">
        <v>218</v>
      </c>
      <c r="F13" s="4" t="s">
        <v>55</v>
      </c>
      <c r="G13" s="4" t="s">
        <v>16</v>
      </c>
      <c r="H13" s="4" t="s">
        <v>499</v>
      </c>
      <c r="I13" s="4" t="s">
        <v>500</v>
      </c>
      <c r="J13" s="4" t="s">
        <v>55</v>
      </c>
      <c r="K13" s="4" t="s">
        <v>235</v>
      </c>
      <c r="L13" s="4" t="s">
        <v>56</v>
      </c>
      <c r="M13" s="4" t="s">
        <v>501</v>
      </c>
      <c r="N13" s="4" t="s">
        <v>502</v>
      </c>
    </row>
    <row r="14" spans="1:14" s="4" customFormat="1">
      <c r="A14" s="4" t="s">
        <v>1640</v>
      </c>
      <c r="B14" s="4" t="s">
        <v>509</v>
      </c>
      <c r="C14" s="4" t="s">
        <v>510</v>
      </c>
      <c r="D14" s="4" t="s">
        <v>241</v>
      </c>
      <c r="E14" s="4">
        <v>288</v>
      </c>
      <c r="F14" s="4" t="s">
        <v>63</v>
      </c>
      <c r="G14" s="4" t="s">
        <v>16</v>
      </c>
      <c r="H14" s="4" t="s">
        <v>511</v>
      </c>
      <c r="I14" s="4" t="s">
        <v>512</v>
      </c>
      <c r="J14" s="4" t="s">
        <v>63</v>
      </c>
      <c r="K14" s="4" t="s">
        <v>235</v>
      </c>
      <c r="L14" s="4" t="s">
        <v>64</v>
      </c>
      <c r="M14" s="4" t="s">
        <v>513</v>
      </c>
      <c r="N14" s="4" t="s">
        <v>514</v>
      </c>
    </row>
    <row r="15" spans="1:14" s="4" customFormat="1">
      <c r="A15" s="4" t="s">
        <v>1639</v>
      </c>
      <c r="B15" s="4" t="s">
        <v>521</v>
      </c>
      <c r="C15" s="4" t="s">
        <v>522</v>
      </c>
      <c r="D15" s="4" t="s">
        <v>241</v>
      </c>
      <c r="E15" s="4">
        <v>36</v>
      </c>
      <c r="F15" s="4" t="s">
        <v>523</v>
      </c>
      <c r="G15" s="4" t="s">
        <v>16</v>
      </c>
      <c r="H15" s="4" t="s">
        <v>524</v>
      </c>
      <c r="I15" s="4" t="s">
        <v>525</v>
      </c>
      <c r="J15" s="4" t="s">
        <v>526</v>
      </c>
      <c r="K15" s="4" t="s">
        <v>235</v>
      </c>
      <c r="L15" s="4" t="s">
        <v>527</v>
      </c>
      <c r="M15" s="4" t="s">
        <v>528</v>
      </c>
    </row>
    <row r="16" spans="1:14" s="4" customFormat="1">
      <c r="A16" s="4" t="s">
        <v>1639</v>
      </c>
      <c r="B16" s="4" t="s">
        <v>529</v>
      </c>
      <c r="C16" s="4" t="s">
        <v>530</v>
      </c>
      <c r="D16" s="4" t="s">
        <v>241</v>
      </c>
      <c r="E16" s="4">
        <v>33</v>
      </c>
      <c r="F16" s="4" t="s">
        <v>531</v>
      </c>
      <c r="G16" s="4" t="s">
        <v>16</v>
      </c>
      <c r="H16" s="4" t="s">
        <v>532</v>
      </c>
      <c r="I16" s="4" t="s">
        <v>533</v>
      </c>
      <c r="J16" s="4" t="s">
        <v>531</v>
      </c>
      <c r="K16" s="4" t="s">
        <v>235</v>
      </c>
      <c r="L16" s="4" t="s">
        <v>72</v>
      </c>
      <c r="M16" s="4" t="s">
        <v>534</v>
      </c>
    </row>
    <row r="17" spans="1:14" s="4" customFormat="1">
      <c r="A17" s="4" t="s">
        <v>1639</v>
      </c>
      <c r="B17" s="4" t="s">
        <v>541</v>
      </c>
      <c r="C17" s="4" t="s">
        <v>542</v>
      </c>
      <c r="D17" s="4" t="s">
        <v>241</v>
      </c>
      <c r="E17" s="4">
        <v>140</v>
      </c>
      <c r="F17" s="4" t="s">
        <v>71</v>
      </c>
      <c r="G17" s="4" t="s">
        <v>16</v>
      </c>
      <c r="H17" s="4" t="s">
        <v>543</v>
      </c>
      <c r="I17" s="4" t="s">
        <v>352</v>
      </c>
      <c r="J17" s="4" t="s">
        <v>353</v>
      </c>
      <c r="K17" s="4" t="s">
        <v>235</v>
      </c>
      <c r="L17" s="4" t="s">
        <v>354</v>
      </c>
      <c r="M17" s="4" t="s">
        <v>544</v>
      </c>
    </row>
    <row r="18" spans="1:14" s="4" customFormat="1">
      <c r="A18" s="4" t="s">
        <v>1640</v>
      </c>
      <c r="B18" s="4" t="s">
        <v>545</v>
      </c>
      <c r="C18" s="4" t="s">
        <v>66</v>
      </c>
      <c r="D18" s="4" t="s">
        <v>241</v>
      </c>
      <c r="E18" s="4">
        <v>4825</v>
      </c>
      <c r="F18" s="4" t="s">
        <v>71</v>
      </c>
      <c r="G18" s="4" t="s">
        <v>16</v>
      </c>
      <c r="H18" s="4" t="s">
        <v>546</v>
      </c>
      <c r="I18" s="4" t="s">
        <v>547</v>
      </c>
      <c r="J18" s="4" t="s">
        <v>71</v>
      </c>
      <c r="K18" s="4" t="s">
        <v>235</v>
      </c>
      <c r="L18" s="4" t="s">
        <v>72</v>
      </c>
      <c r="M18" s="4" t="s">
        <v>548</v>
      </c>
      <c r="N18" s="4" t="s">
        <v>549</v>
      </c>
    </row>
    <row r="19" spans="1:14" s="4" customFormat="1">
      <c r="A19" s="4" t="s">
        <v>1639</v>
      </c>
      <c r="B19" s="4" t="s">
        <v>556</v>
      </c>
      <c r="C19" s="4" t="s">
        <v>557</v>
      </c>
      <c r="D19" s="4" t="s">
        <v>241</v>
      </c>
      <c r="E19" s="4">
        <v>570</v>
      </c>
      <c r="F19" s="4" t="s">
        <v>313</v>
      </c>
      <c r="G19" s="4" t="s">
        <v>16</v>
      </c>
      <c r="H19" s="4" t="s">
        <v>558</v>
      </c>
      <c r="I19" s="4" t="s">
        <v>559</v>
      </c>
      <c r="J19" s="4" t="s">
        <v>313</v>
      </c>
      <c r="K19" s="4" t="s">
        <v>235</v>
      </c>
      <c r="L19" s="4" t="s">
        <v>314</v>
      </c>
      <c r="M19" s="4" t="s">
        <v>560</v>
      </c>
      <c r="N19" s="4" t="s">
        <v>561</v>
      </c>
    </row>
    <row r="20" spans="1:14" s="4" customFormat="1">
      <c r="A20" s="4" t="s">
        <v>1639</v>
      </c>
      <c r="B20" s="4" t="s">
        <v>593</v>
      </c>
      <c r="C20" s="4" t="s">
        <v>594</v>
      </c>
      <c r="D20" s="4" t="s">
        <v>241</v>
      </c>
      <c r="E20" s="4">
        <v>145</v>
      </c>
      <c r="F20" s="4" t="s">
        <v>23</v>
      </c>
      <c r="G20" s="4" t="s">
        <v>16</v>
      </c>
      <c r="H20" s="4" t="s">
        <v>358</v>
      </c>
      <c r="I20" s="4" t="s">
        <v>359</v>
      </c>
      <c r="J20" s="4" t="s">
        <v>23</v>
      </c>
      <c r="K20" s="4" t="s">
        <v>235</v>
      </c>
      <c r="L20" s="4" t="s">
        <v>24</v>
      </c>
      <c r="M20" s="4" t="s">
        <v>360</v>
      </c>
      <c r="N20" s="4" t="s">
        <v>361</v>
      </c>
    </row>
    <row r="21" spans="1:14" s="4" customFormat="1">
      <c r="A21" s="4" t="s">
        <v>1640</v>
      </c>
      <c r="B21" s="4" t="s">
        <v>595</v>
      </c>
      <c r="C21" s="4" t="s">
        <v>74</v>
      </c>
      <c r="D21" s="4" t="s">
        <v>241</v>
      </c>
      <c r="E21" s="4">
        <v>853</v>
      </c>
      <c r="F21" s="4" t="s">
        <v>79</v>
      </c>
      <c r="G21" s="4" t="s">
        <v>16</v>
      </c>
      <c r="H21" s="4" t="s">
        <v>596</v>
      </c>
      <c r="I21" s="4" t="s">
        <v>597</v>
      </c>
      <c r="J21" s="4" t="s">
        <v>79</v>
      </c>
      <c r="K21" s="4" t="s">
        <v>235</v>
      </c>
      <c r="L21" s="4" t="s">
        <v>80</v>
      </c>
      <c r="M21" s="4" t="s">
        <v>598</v>
      </c>
      <c r="N21" s="4" t="s">
        <v>599</v>
      </c>
    </row>
    <row r="22" spans="1:14" s="4" customFormat="1">
      <c r="A22" s="4" t="s">
        <v>1639</v>
      </c>
      <c r="B22" s="4" t="s">
        <v>645</v>
      </c>
      <c r="C22" s="4" t="s">
        <v>646</v>
      </c>
      <c r="D22" s="4" t="s">
        <v>241</v>
      </c>
      <c r="E22" s="4">
        <v>308</v>
      </c>
      <c r="F22" s="4" t="s">
        <v>79</v>
      </c>
      <c r="G22" s="4" t="s">
        <v>16</v>
      </c>
      <c r="H22" s="4" t="s">
        <v>647</v>
      </c>
      <c r="I22" s="4" t="s">
        <v>648</v>
      </c>
      <c r="J22" s="4" t="s">
        <v>79</v>
      </c>
      <c r="K22" s="4" t="s">
        <v>235</v>
      </c>
      <c r="L22" s="4" t="s">
        <v>649</v>
      </c>
      <c r="M22" s="4" t="s">
        <v>650</v>
      </c>
      <c r="N22" s="4" t="s">
        <v>651</v>
      </c>
    </row>
    <row r="23" spans="1:14" s="4" customFormat="1">
      <c r="A23" s="4" t="s">
        <v>1640</v>
      </c>
      <c r="B23" s="4" t="s">
        <v>658</v>
      </c>
      <c r="C23" s="4" t="s">
        <v>659</v>
      </c>
      <c r="D23" s="4" t="s">
        <v>241</v>
      </c>
      <c r="E23" s="4">
        <v>2853</v>
      </c>
      <c r="F23" s="4" t="s">
        <v>93</v>
      </c>
      <c r="G23" s="4" t="s">
        <v>16</v>
      </c>
      <c r="H23" s="4" t="s">
        <v>660</v>
      </c>
      <c r="I23" s="4" t="s">
        <v>661</v>
      </c>
      <c r="J23" s="4" t="s">
        <v>93</v>
      </c>
      <c r="K23" s="4" t="s">
        <v>235</v>
      </c>
      <c r="L23" s="4" t="s">
        <v>94</v>
      </c>
      <c r="M23" s="4" t="s">
        <v>662</v>
      </c>
      <c r="N23" s="4" t="s">
        <v>663</v>
      </c>
    </row>
    <row r="24" spans="1:14" s="4" customFormat="1">
      <c r="A24" s="4" t="s">
        <v>1639</v>
      </c>
      <c r="B24" s="4" t="s">
        <v>688</v>
      </c>
      <c r="C24" s="4" t="s">
        <v>689</v>
      </c>
      <c r="D24" s="4" t="s">
        <v>241</v>
      </c>
      <c r="E24" s="4">
        <v>75</v>
      </c>
      <c r="F24" s="4" t="s">
        <v>101</v>
      </c>
      <c r="G24" s="4" t="s">
        <v>16</v>
      </c>
      <c r="H24" s="4" t="s">
        <v>690</v>
      </c>
      <c r="I24" s="4" t="s">
        <v>691</v>
      </c>
      <c r="J24" s="4" t="s">
        <v>55</v>
      </c>
      <c r="K24" s="4" t="s">
        <v>235</v>
      </c>
      <c r="L24" s="4" t="s">
        <v>56</v>
      </c>
      <c r="M24" s="4" t="s">
        <v>692</v>
      </c>
    </row>
    <row r="25" spans="1:14" s="4" customFormat="1">
      <c r="A25" s="4" t="s">
        <v>1639</v>
      </c>
      <c r="B25" s="4" t="s">
        <v>693</v>
      </c>
      <c r="C25" s="4" t="s">
        <v>694</v>
      </c>
      <c r="D25" s="4" t="s">
        <v>241</v>
      </c>
      <c r="E25" s="4">
        <v>1800</v>
      </c>
      <c r="F25" s="4" t="s">
        <v>108</v>
      </c>
      <c r="G25" s="4" t="s">
        <v>16</v>
      </c>
      <c r="H25" s="4" t="s">
        <v>695</v>
      </c>
      <c r="I25" s="4" t="s">
        <v>107</v>
      </c>
      <c r="J25" s="4" t="s">
        <v>108</v>
      </c>
      <c r="K25" s="4" t="s">
        <v>235</v>
      </c>
      <c r="L25" s="4" t="s">
        <v>109</v>
      </c>
      <c r="M25" s="4" t="s">
        <v>696</v>
      </c>
    </row>
    <row r="26" spans="1:14" s="4" customFormat="1">
      <c r="A26" s="4" t="s">
        <v>1639</v>
      </c>
      <c r="B26" s="4" t="s">
        <v>705</v>
      </c>
      <c r="C26" s="4" t="s">
        <v>706</v>
      </c>
      <c r="D26" s="4" t="s">
        <v>241</v>
      </c>
      <c r="E26" s="4">
        <v>72</v>
      </c>
      <c r="F26" s="4" t="s">
        <v>55</v>
      </c>
      <c r="G26" s="4" t="s">
        <v>16</v>
      </c>
      <c r="H26" s="4" t="s">
        <v>707</v>
      </c>
      <c r="I26" s="4" t="s">
        <v>708</v>
      </c>
      <c r="J26" s="4" t="s">
        <v>709</v>
      </c>
      <c r="K26" s="4" t="s">
        <v>235</v>
      </c>
      <c r="L26" s="4" t="s">
        <v>710</v>
      </c>
      <c r="M26" s="4" t="s">
        <v>711</v>
      </c>
    </row>
    <row r="27" spans="1:14" s="4" customFormat="1">
      <c r="A27" s="4" t="s">
        <v>1639</v>
      </c>
      <c r="B27" s="4" t="s">
        <v>723</v>
      </c>
      <c r="C27" s="4" t="s">
        <v>724</v>
      </c>
      <c r="D27" s="4" t="s">
        <v>241</v>
      </c>
      <c r="E27" s="4">
        <v>30</v>
      </c>
      <c r="F27" s="4" t="s">
        <v>585</v>
      </c>
      <c r="G27" s="4" t="s">
        <v>16</v>
      </c>
      <c r="H27" s="4" t="s">
        <v>725</v>
      </c>
      <c r="I27" s="4" t="s">
        <v>726</v>
      </c>
      <c r="J27" s="4" t="s">
        <v>137</v>
      </c>
      <c r="K27" s="4" t="s">
        <v>235</v>
      </c>
      <c r="L27" s="4" t="s">
        <v>138</v>
      </c>
      <c r="M27" s="4" t="s">
        <v>727</v>
      </c>
    </row>
    <row r="28" spans="1:14" s="4" customFormat="1">
      <c r="A28" s="4" t="s">
        <v>1639</v>
      </c>
      <c r="B28" s="4" t="s">
        <v>728</v>
      </c>
      <c r="C28" s="4" t="s">
        <v>729</v>
      </c>
      <c r="D28" s="4" t="s">
        <v>241</v>
      </c>
      <c r="E28" s="4">
        <v>33</v>
      </c>
      <c r="F28" s="4" t="s">
        <v>319</v>
      </c>
      <c r="G28" s="4" t="s">
        <v>16</v>
      </c>
      <c r="H28" s="4" t="s">
        <v>730</v>
      </c>
      <c r="I28" s="4" t="s">
        <v>731</v>
      </c>
      <c r="J28" s="4" t="s">
        <v>23</v>
      </c>
      <c r="K28" s="4" t="s">
        <v>235</v>
      </c>
      <c r="L28" s="4" t="s">
        <v>24</v>
      </c>
      <c r="M28" s="4" t="s">
        <v>732</v>
      </c>
    </row>
    <row r="29" spans="1:14" s="4" customFormat="1">
      <c r="A29" s="4" t="s">
        <v>1639</v>
      </c>
      <c r="B29" s="4" t="s">
        <v>733</v>
      </c>
      <c r="C29" s="4" t="s">
        <v>734</v>
      </c>
      <c r="D29" s="4" t="s">
        <v>241</v>
      </c>
      <c r="E29" s="4">
        <v>95</v>
      </c>
      <c r="F29" s="4" t="s">
        <v>232</v>
      </c>
      <c r="G29" s="4" t="s">
        <v>16</v>
      </c>
      <c r="H29" s="4" t="s">
        <v>735</v>
      </c>
      <c r="I29" s="4" t="s">
        <v>736</v>
      </c>
      <c r="J29" s="4" t="s">
        <v>232</v>
      </c>
      <c r="K29" s="4" t="s">
        <v>235</v>
      </c>
      <c r="L29" s="4" t="s">
        <v>236</v>
      </c>
      <c r="M29" s="4" t="s">
        <v>737</v>
      </c>
    </row>
    <row r="30" spans="1:14" s="4" customFormat="1">
      <c r="A30" s="4" t="s">
        <v>1639</v>
      </c>
      <c r="B30" s="4" t="s">
        <v>804</v>
      </c>
      <c r="C30" s="4" t="s">
        <v>805</v>
      </c>
      <c r="D30" s="4" t="s">
        <v>241</v>
      </c>
      <c r="E30" s="4">
        <v>42</v>
      </c>
      <c r="F30" s="4" t="s">
        <v>441</v>
      </c>
      <c r="G30" s="4" t="s">
        <v>16</v>
      </c>
      <c r="H30" s="4" t="s">
        <v>806</v>
      </c>
      <c r="I30" s="4" t="s">
        <v>807</v>
      </c>
      <c r="J30" s="4" t="s">
        <v>441</v>
      </c>
      <c r="K30" s="4" t="s">
        <v>235</v>
      </c>
      <c r="L30" s="4" t="s">
        <v>444</v>
      </c>
      <c r="M30" s="4" t="s">
        <v>808</v>
      </c>
      <c r="N30" s="4" t="s">
        <v>809</v>
      </c>
    </row>
    <row r="31" spans="1:14" s="4" customFormat="1">
      <c r="A31" s="4" t="s">
        <v>1639</v>
      </c>
      <c r="B31" s="4" t="s">
        <v>816</v>
      </c>
      <c r="C31" s="4" t="s">
        <v>817</v>
      </c>
      <c r="D31" s="4" t="s">
        <v>241</v>
      </c>
      <c r="E31" s="4">
        <v>123</v>
      </c>
      <c r="F31" s="4" t="s">
        <v>247</v>
      </c>
      <c r="G31" s="4" t="s">
        <v>16</v>
      </c>
      <c r="H31" s="4" t="s">
        <v>818</v>
      </c>
      <c r="I31" s="4" t="s">
        <v>819</v>
      </c>
      <c r="J31" s="4" t="s">
        <v>820</v>
      </c>
      <c r="K31" s="4" t="s">
        <v>235</v>
      </c>
      <c r="L31" s="4" t="s">
        <v>821</v>
      </c>
      <c r="M31" s="4" t="s">
        <v>822</v>
      </c>
      <c r="N31" s="4" t="s">
        <v>823</v>
      </c>
    </row>
    <row r="32" spans="1:14" s="4" customFormat="1">
      <c r="A32" s="4" t="s">
        <v>1639</v>
      </c>
      <c r="B32" s="4" t="s">
        <v>824</v>
      </c>
      <c r="C32" s="4" t="s">
        <v>825</v>
      </c>
      <c r="D32" s="4" t="s">
        <v>241</v>
      </c>
      <c r="E32" s="4">
        <v>80</v>
      </c>
      <c r="F32" s="4" t="s">
        <v>55</v>
      </c>
      <c r="G32" s="4" t="s">
        <v>16</v>
      </c>
      <c r="H32" s="4" t="s">
        <v>826</v>
      </c>
      <c r="I32" s="4" t="s">
        <v>827</v>
      </c>
      <c r="J32" s="4" t="s">
        <v>55</v>
      </c>
      <c r="K32" s="4" t="s">
        <v>235</v>
      </c>
      <c r="L32" s="4" t="s">
        <v>56</v>
      </c>
      <c r="M32" s="4" t="s">
        <v>828</v>
      </c>
    </row>
    <row r="33" spans="1:14" s="4" customFormat="1">
      <c r="A33" s="4" t="s">
        <v>1639</v>
      </c>
      <c r="B33" s="4" t="s">
        <v>838</v>
      </c>
      <c r="C33" s="4" t="s">
        <v>839</v>
      </c>
      <c r="D33" s="4" t="s">
        <v>241</v>
      </c>
      <c r="E33" s="4">
        <v>5993</v>
      </c>
      <c r="F33" s="4" t="s">
        <v>55</v>
      </c>
      <c r="G33" s="4" t="s">
        <v>16</v>
      </c>
      <c r="H33" s="4" t="s">
        <v>840</v>
      </c>
      <c r="I33" s="4" t="s">
        <v>841</v>
      </c>
      <c r="J33" s="4" t="s">
        <v>55</v>
      </c>
      <c r="K33" s="4" t="s">
        <v>235</v>
      </c>
      <c r="L33" s="4" t="s">
        <v>56</v>
      </c>
      <c r="M33" s="4" t="s">
        <v>842</v>
      </c>
      <c r="N33" s="4" t="s">
        <v>843</v>
      </c>
    </row>
    <row r="34" spans="1:14" s="4" customFormat="1">
      <c r="A34" s="4" t="s">
        <v>1639</v>
      </c>
      <c r="B34" s="4" t="s">
        <v>855</v>
      </c>
      <c r="C34" s="4" t="s">
        <v>856</v>
      </c>
      <c r="D34" s="4" t="s">
        <v>241</v>
      </c>
      <c r="E34" s="4">
        <v>35</v>
      </c>
      <c r="F34" s="4" t="s">
        <v>23</v>
      </c>
      <c r="G34" s="4" t="s">
        <v>16</v>
      </c>
      <c r="H34" s="4" t="s">
        <v>857</v>
      </c>
      <c r="I34" s="4" t="s">
        <v>858</v>
      </c>
      <c r="J34" s="4" t="s">
        <v>23</v>
      </c>
      <c r="K34" s="4" t="s">
        <v>235</v>
      </c>
      <c r="L34" s="4" t="s">
        <v>24</v>
      </c>
      <c r="M34" s="4" t="s">
        <v>859</v>
      </c>
      <c r="N34" s="4" t="s">
        <v>860</v>
      </c>
    </row>
    <row r="35" spans="1:14" s="4" customFormat="1">
      <c r="A35" s="4" t="s">
        <v>1640</v>
      </c>
      <c r="B35" s="4" t="s">
        <v>861</v>
      </c>
      <c r="C35" s="4" t="s">
        <v>862</v>
      </c>
      <c r="D35" s="4" t="s">
        <v>241</v>
      </c>
      <c r="E35" s="4">
        <v>101</v>
      </c>
      <c r="F35" s="4" t="s">
        <v>23</v>
      </c>
      <c r="G35" s="4" t="s">
        <v>16</v>
      </c>
      <c r="H35" s="4" t="s">
        <v>863</v>
      </c>
      <c r="I35" s="4" t="s">
        <v>864</v>
      </c>
      <c r="J35" s="4" t="s">
        <v>23</v>
      </c>
      <c r="K35" s="4" t="s">
        <v>235</v>
      </c>
      <c r="L35" s="4" t="s">
        <v>24</v>
      </c>
      <c r="M35" s="4" t="s">
        <v>865</v>
      </c>
      <c r="N35" s="4" t="s">
        <v>866</v>
      </c>
    </row>
    <row r="36" spans="1:14" s="4" customFormat="1">
      <c r="A36" s="4" t="s">
        <v>1639</v>
      </c>
      <c r="B36" s="4" t="s">
        <v>873</v>
      </c>
      <c r="C36" s="4" t="s">
        <v>874</v>
      </c>
      <c r="D36" s="4" t="s">
        <v>241</v>
      </c>
      <c r="E36" s="4">
        <v>40</v>
      </c>
      <c r="F36" s="4" t="s">
        <v>232</v>
      </c>
      <c r="G36" s="4" t="s">
        <v>16</v>
      </c>
      <c r="H36" s="4" t="s">
        <v>875</v>
      </c>
      <c r="I36" s="4" t="s">
        <v>876</v>
      </c>
      <c r="J36" s="4" t="s">
        <v>232</v>
      </c>
      <c r="K36" s="4" t="s">
        <v>235</v>
      </c>
      <c r="L36" s="4" t="s">
        <v>236</v>
      </c>
      <c r="M36" s="4" t="s">
        <v>877</v>
      </c>
    </row>
    <row r="37" spans="1:14" s="4" customFormat="1">
      <c r="A37" s="4" t="s">
        <v>1639</v>
      </c>
      <c r="B37" s="4" t="s">
        <v>897</v>
      </c>
      <c r="C37" s="4" t="s">
        <v>898</v>
      </c>
      <c r="D37" s="4" t="s">
        <v>241</v>
      </c>
      <c r="E37" s="4">
        <v>30</v>
      </c>
      <c r="F37" s="4" t="s">
        <v>585</v>
      </c>
      <c r="G37" s="4" t="s">
        <v>16</v>
      </c>
      <c r="H37" s="4" t="s">
        <v>899</v>
      </c>
      <c r="I37" s="4" t="s">
        <v>900</v>
      </c>
      <c r="J37" s="4" t="s">
        <v>232</v>
      </c>
      <c r="K37" s="4" t="s">
        <v>235</v>
      </c>
      <c r="L37" s="4" t="s">
        <v>236</v>
      </c>
      <c r="M37" s="4" t="s">
        <v>901</v>
      </c>
      <c r="N37" s="4" t="s">
        <v>902</v>
      </c>
    </row>
    <row r="38" spans="1:14" s="4" customFormat="1">
      <c r="A38" s="4" t="s">
        <v>1639</v>
      </c>
      <c r="B38" s="4" t="s">
        <v>903</v>
      </c>
      <c r="C38" s="4" t="s">
        <v>904</v>
      </c>
      <c r="D38" s="4" t="s">
        <v>241</v>
      </c>
      <c r="E38" s="4">
        <v>80</v>
      </c>
      <c r="F38" s="4" t="s">
        <v>905</v>
      </c>
      <c r="G38" s="4" t="s">
        <v>16</v>
      </c>
      <c r="H38" s="4" t="s">
        <v>906</v>
      </c>
      <c r="I38" s="4" t="s">
        <v>907</v>
      </c>
      <c r="J38" s="4" t="s">
        <v>905</v>
      </c>
      <c r="K38" s="4" t="s">
        <v>235</v>
      </c>
      <c r="L38" s="4" t="s">
        <v>908</v>
      </c>
      <c r="M38" s="4" t="s">
        <v>909</v>
      </c>
      <c r="N38" s="4" t="s">
        <v>910</v>
      </c>
    </row>
    <row r="39" spans="1:14" s="4" customFormat="1">
      <c r="A39" s="4" t="s">
        <v>1639</v>
      </c>
      <c r="B39" s="4" t="s">
        <v>924</v>
      </c>
      <c r="C39" s="4" t="s">
        <v>925</v>
      </c>
      <c r="D39" s="4" t="s">
        <v>241</v>
      </c>
      <c r="E39" s="4">
        <v>143</v>
      </c>
      <c r="F39" s="4" t="s">
        <v>47</v>
      </c>
      <c r="G39" s="4" t="s">
        <v>16</v>
      </c>
      <c r="H39" s="4" t="s">
        <v>926</v>
      </c>
      <c r="I39" s="4" t="s">
        <v>927</v>
      </c>
      <c r="J39" s="4" t="s">
        <v>47</v>
      </c>
      <c r="K39" s="4" t="s">
        <v>235</v>
      </c>
      <c r="L39" s="4" t="s">
        <v>48</v>
      </c>
      <c r="M39" s="4" t="s">
        <v>928</v>
      </c>
      <c r="N39" s="4" t="s">
        <v>929</v>
      </c>
    </row>
    <row r="40" spans="1:14" s="4" customFormat="1">
      <c r="A40" s="4" t="s">
        <v>1639</v>
      </c>
      <c r="B40" s="4" t="s">
        <v>937</v>
      </c>
      <c r="C40" s="4" t="s">
        <v>938</v>
      </c>
      <c r="D40" s="4" t="s">
        <v>241</v>
      </c>
      <c r="E40" s="4">
        <v>68</v>
      </c>
      <c r="F40" s="4" t="s">
        <v>23</v>
      </c>
      <c r="G40" s="4" t="s">
        <v>16</v>
      </c>
      <c r="H40" s="4" t="s">
        <v>939</v>
      </c>
      <c r="I40" s="4" t="s">
        <v>940</v>
      </c>
      <c r="J40" s="4" t="s">
        <v>23</v>
      </c>
      <c r="K40" s="4" t="s">
        <v>235</v>
      </c>
      <c r="L40" s="4" t="s">
        <v>24</v>
      </c>
      <c r="M40" s="4" t="s">
        <v>941</v>
      </c>
    </row>
    <row r="41" spans="1:14" s="4" customFormat="1">
      <c r="A41" s="4" t="s">
        <v>1639</v>
      </c>
      <c r="B41" s="4" t="s">
        <v>948</v>
      </c>
      <c r="C41" s="4" t="s">
        <v>949</v>
      </c>
      <c r="D41" s="4" t="s">
        <v>241</v>
      </c>
      <c r="E41" s="4">
        <v>55</v>
      </c>
      <c r="F41" s="4" t="s">
        <v>79</v>
      </c>
      <c r="G41" s="4" t="s">
        <v>16</v>
      </c>
      <c r="H41" s="4" t="s">
        <v>950</v>
      </c>
      <c r="I41" s="4" t="s">
        <v>951</v>
      </c>
      <c r="J41" s="4" t="s">
        <v>952</v>
      </c>
      <c r="K41" s="4" t="s">
        <v>953</v>
      </c>
      <c r="L41" s="4" t="s">
        <v>954</v>
      </c>
      <c r="M41" s="4" t="s">
        <v>955</v>
      </c>
      <c r="N41" s="4" t="s">
        <v>956</v>
      </c>
    </row>
    <row r="42" spans="1:14" s="4" customFormat="1">
      <c r="A42" s="4" t="s">
        <v>1639</v>
      </c>
      <c r="B42" s="4" t="s">
        <v>957</v>
      </c>
      <c r="C42" s="4" t="s">
        <v>958</v>
      </c>
      <c r="D42" s="4" t="s">
        <v>241</v>
      </c>
      <c r="E42" s="4">
        <v>136</v>
      </c>
      <c r="F42" s="4" t="s">
        <v>55</v>
      </c>
      <c r="G42" s="4" t="s">
        <v>16</v>
      </c>
      <c r="H42" s="4" t="s">
        <v>959</v>
      </c>
      <c r="I42" s="4" t="s">
        <v>960</v>
      </c>
      <c r="J42" s="4" t="s">
        <v>55</v>
      </c>
      <c r="K42" s="4" t="s">
        <v>235</v>
      </c>
      <c r="L42" s="4" t="s">
        <v>56</v>
      </c>
      <c r="M42" s="4" t="s">
        <v>961</v>
      </c>
    </row>
    <row r="43" spans="1:14" s="4" customFormat="1">
      <c r="A43" s="4" t="s">
        <v>1640</v>
      </c>
      <c r="B43" s="4" t="s">
        <v>1024</v>
      </c>
      <c r="C43" s="4" t="s">
        <v>1025</v>
      </c>
      <c r="D43" s="4" t="s">
        <v>241</v>
      </c>
      <c r="E43" s="4">
        <v>2213</v>
      </c>
      <c r="F43" s="4" t="s">
        <v>145</v>
      </c>
      <c r="G43" s="4" t="s">
        <v>16</v>
      </c>
      <c r="H43" s="4" t="s">
        <v>1026</v>
      </c>
      <c r="I43" s="4" t="s">
        <v>1027</v>
      </c>
      <c r="J43" s="4" t="s">
        <v>145</v>
      </c>
      <c r="K43" s="4" t="s">
        <v>235</v>
      </c>
      <c r="L43" s="4" t="s">
        <v>146</v>
      </c>
      <c r="M43" s="4" t="s">
        <v>1028</v>
      </c>
      <c r="N43" s="4" t="s">
        <v>1029</v>
      </c>
    </row>
    <row r="44" spans="1:14" s="4" customFormat="1">
      <c r="A44" s="4" t="s">
        <v>1640</v>
      </c>
      <c r="B44" s="4" t="s">
        <v>1030</v>
      </c>
      <c r="C44" s="4" t="s">
        <v>1031</v>
      </c>
      <c r="D44" s="4" t="s">
        <v>241</v>
      </c>
      <c r="E44" s="4">
        <v>768</v>
      </c>
      <c r="F44" s="4" t="s">
        <v>153</v>
      </c>
      <c r="G44" s="4" t="s">
        <v>16</v>
      </c>
      <c r="H44" s="4" t="s">
        <v>1032</v>
      </c>
      <c r="I44" s="4" t="s">
        <v>1033</v>
      </c>
      <c r="J44" s="4" t="s">
        <v>153</v>
      </c>
      <c r="K44" s="4" t="s">
        <v>235</v>
      </c>
      <c r="L44" s="4" t="s">
        <v>154</v>
      </c>
      <c r="M44" s="4" t="s">
        <v>1034</v>
      </c>
      <c r="N44" s="4" t="s">
        <v>1035</v>
      </c>
    </row>
    <row r="45" spans="1:14" s="4" customFormat="1">
      <c r="A45" s="4" t="s">
        <v>1639</v>
      </c>
      <c r="B45" s="4" t="s">
        <v>1036</v>
      </c>
      <c r="C45" s="4" t="s">
        <v>1037</v>
      </c>
      <c r="D45" s="4" t="s">
        <v>241</v>
      </c>
      <c r="E45" s="4">
        <v>180</v>
      </c>
      <c r="F45" s="4" t="s">
        <v>23</v>
      </c>
      <c r="G45" s="4" t="s">
        <v>16</v>
      </c>
      <c r="H45" s="4" t="s">
        <v>950</v>
      </c>
      <c r="I45" s="4" t="s">
        <v>951</v>
      </c>
      <c r="J45" s="4" t="s">
        <v>952</v>
      </c>
      <c r="K45" s="4" t="s">
        <v>953</v>
      </c>
      <c r="L45" s="4" t="s">
        <v>954</v>
      </c>
      <c r="M45" s="4" t="s">
        <v>955</v>
      </c>
      <c r="N45" s="4" t="s">
        <v>956</v>
      </c>
    </row>
    <row r="46" spans="1:14" s="4" customFormat="1">
      <c r="A46" s="4" t="s">
        <v>1639</v>
      </c>
      <c r="B46" s="4" t="s">
        <v>1038</v>
      </c>
      <c r="C46" s="4" t="s">
        <v>1039</v>
      </c>
      <c r="D46" s="4" t="s">
        <v>241</v>
      </c>
      <c r="E46" s="4">
        <v>41</v>
      </c>
      <c r="F46" s="4" t="s">
        <v>441</v>
      </c>
      <c r="G46" s="4" t="s">
        <v>16</v>
      </c>
      <c r="H46" s="4" t="s">
        <v>1040</v>
      </c>
      <c r="I46" s="4" t="s">
        <v>1041</v>
      </c>
      <c r="J46" s="4" t="s">
        <v>441</v>
      </c>
      <c r="K46" s="4" t="s">
        <v>235</v>
      </c>
      <c r="L46" s="4" t="s">
        <v>444</v>
      </c>
      <c r="M46" s="4" t="s">
        <v>1042</v>
      </c>
      <c r="N46" s="4" t="s">
        <v>1043</v>
      </c>
    </row>
    <row r="47" spans="1:14" s="4" customFormat="1">
      <c r="A47" s="4" t="s">
        <v>1639</v>
      </c>
      <c r="B47" s="4" t="s">
        <v>1051</v>
      </c>
      <c r="C47" s="4" t="s">
        <v>1052</v>
      </c>
      <c r="D47" s="4" t="s">
        <v>241</v>
      </c>
      <c r="E47" s="4">
        <v>51</v>
      </c>
      <c r="F47" s="4" t="s">
        <v>441</v>
      </c>
      <c r="G47" s="4" t="s">
        <v>16</v>
      </c>
      <c r="H47" s="4" t="s">
        <v>1053</v>
      </c>
      <c r="I47" s="4" t="s">
        <v>1054</v>
      </c>
      <c r="J47" s="4" t="s">
        <v>55</v>
      </c>
      <c r="K47" s="4" t="s">
        <v>235</v>
      </c>
      <c r="L47" s="4" t="s">
        <v>56</v>
      </c>
      <c r="M47" s="4" t="s">
        <v>1055</v>
      </c>
      <c r="N47" s="4" t="s">
        <v>1056</v>
      </c>
    </row>
    <row r="48" spans="1:14" s="4" customFormat="1">
      <c r="A48" s="4" t="s">
        <v>1639</v>
      </c>
      <c r="B48" s="4" t="s">
        <v>252</v>
      </c>
      <c r="C48" s="4" t="s">
        <v>253</v>
      </c>
      <c r="D48" s="4" t="s">
        <v>254</v>
      </c>
      <c r="E48" s="4">
        <v>200</v>
      </c>
      <c r="F48" s="4" t="s">
        <v>23</v>
      </c>
      <c r="G48" s="4" t="s">
        <v>16</v>
      </c>
      <c r="H48" s="4" t="s">
        <v>255</v>
      </c>
      <c r="I48" s="4" t="s">
        <v>256</v>
      </c>
      <c r="J48" s="4" t="s">
        <v>55</v>
      </c>
      <c r="K48" s="4" t="s">
        <v>235</v>
      </c>
      <c r="L48" s="4" t="s">
        <v>56</v>
      </c>
      <c r="M48" s="4" t="s">
        <v>257</v>
      </c>
    </row>
    <row r="49" spans="1:14" s="4" customFormat="1">
      <c r="A49" s="4" t="s">
        <v>1639</v>
      </c>
      <c r="B49" s="4" t="s">
        <v>366</v>
      </c>
      <c r="C49" s="4" t="s">
        <v>367</v>
      </c>
      <c r="D49" s="4" t="s">
        <v>254</v>
      </c>
      <c r="E49" s="4">
        <v>56</v>
      </c>
      <c r="F49" s="4" t="s">
        <v>368</v>
      </c>
      <c r="G49" s="4" t="s">
        <v>16</v>
      </c>
      <c r="H49" s="4" t="s">
        <v>369</v>
      </c>
      <c r="I49" s="4" t="s">
        <v>370</v>
      </c>
      <c r="J49" s="4" t="s">
        <v>371</v>
      </c>
      <c r="K49" s="4" t="s">
        <v>235</v>
      </c>
      <c r="L49" s="4" t="s">
        <v>80</v>
      </c>
      <c r="M49" s="4" t="s">
        <v>372</v>
      </c>
      <c r="N49" s="4" t="s">
        <v>373</v>
      </c>
    </row>
    <row r="50" spans="1:14" s="4" customFormat="1">
      <c r="A50" s="4" t="s">
        <v>1639</v>
      </c>
      <c r="B50" s="4" t="s">
        <v>374</v>
      </c>
      <c r="C50" s="4" t="s">
        <v>375</v>
      </c>
      <c r="D50" s="4" t="s">
        <v>254</v>
      </c>
      <c r="E50" s="4">
        <v>30</v>
      </c>
      <c r="F50" s="4" t="s">
        <v>39</v>
      </c>
      <c r="G50" s="4" t="s">
        <v>16</v>
      </c>
      <c r="H50" s="4" t="s">
        <v>376</v>
      </c>
      <c r="I50" s="4" t="s">
        <v>377</v>
      </c>
      <c r="J50" s="4" t="s">
        <v>55</v>
      </c>
      <c r="K50" s="4" t="s">
        <v>235</v>
      </c>
      <c r="L50" s="4" t="s">
        <v>56</v>
      </c>
      <c r="M50" s="4" t="s">
        <v>378</v>
      </c>
      <c r="N50" s="4" t="s">
        <v>379</v>
      </c>
    </row>
    <row r="51" spans="1:14" s="4" customFormat="1">
      <c r="A51" s="4" t="s">
        <v>1639</v>
      </c>
      <c r="B51" s="4" t="s">
        <v>380</v>
      </c>
      <c r="C51" s="4" t="s">
        <v>381</v>
      </c>
      <c r="D51" s="4" t="s">
        <v>254</v>
      </c>
      <c r="E51" s="4">
        <v>30</v>
      </c>
      <c r="F51" s="4" t="s">
        <v>23</v>
      </c>
      <c r="G51" s="4" t="s">
        <v>16</v>
      </c>
      <c r="H51" s="4" t="s">
        <v>376</v>
      </c>
      <c r="I51" s="4" t="s">
        <v>377</v>
      </c>
      <c r="J51" s="4" t="s">
        <v>55</v>
      </c>
      <c r="K51" s="4" t="s">
        <v>235</v>
      </c>
      <c r="L51" s="4" t="s">
        <v>56</v>
      </c>
      <c r="M51" s="4" t="s">
        <v>378</v>
      </c>
      <c r="N51" s="4" t="s">
        <v>379</v>
      </c>
    </row>
    <row r="52" spans="1:14" s="4" customFormat="1">
      <c r="A52" s="4" t="s">
        <v>1639</v>
      </c>
      <c r="B52" s="4" t="s">
        <v>382</v>
      </c>
      <c r="C52" s="4" t="s">
        <v>383</v>
      </c>
      <c r="D52" s="4" t="s">
        <v>254</v>
      </c>
      <c r="E52" s="4">
        <v>50</v>
      </c>
      <c r="F52" s="4" t="s">
        <v>384</v>
      </c>
      <c r="G52" s="4" t="s">
        <v>16</v>
      </c>
      <c r="H52" s="4" t="s">
        <v>385</v>
      </c>
      <c r="I52" s="4" t="s">
        <v>386</v>
      </c>
      <c r="J52" s="4" t="s">
        <v>387</v>
      </c>
      <c r="K52" s="4" t="s">
        <v>235</v>
      </c>
      <c r="L52" s="4" t="s">
        <v>388</v>
      </c>
      <c r="M52" s="4" t="s">
        <v>389</v>
      </c>
    </row>
    <row r="53" spans="1:14" s="4" customFormat="1">
      <c r="A53" s="4" t="s">
        <v>1639</v>
      </c>
      <c r="B53" s="4" t="s">
        <v>439</v>
      </c>
      <c r="C53" s="4" t="s">
        <v>440</v>
      </c>
      <c r="D53" s="4" t="s">
        <v>254</v>
      </c>
      <c r="E53" s="4">
        <v>135</v>
      </c>
      <c r="F53" s="4" t="s">
        <v>441</v>
      </c>
      <c r="G53" s="4" t="s">
        <v>16</v>
      </c>
      <c r="H53" s="4" t="s">
        <v>442</v>
      </c>
      <c r="I53" s="4" t="s">
        <v>443</v>
      </c>
      <c r="J53" s="4" t="s">
        <v>441</v>
      </c>
      <c r="K53" s="4" t="s">
        <v>235</v>
      </c>
      <c r="L53" s="4" t="s">
        <v>444</v>
      </c>
      <c r="M53" s="4" t="s">
        <v>445</v>
      </c>
      <c r="N53" s="4" t="s">
        <v>446</v>
      </c>
    </row>
    <row r="54" spans="1:14" s="4" customFormat="1">
      <c r="A54" s="4" t="s">
        <v>1639</v>
      </c>
      <c r="B54" s="4" t="s">
        <v>447</v>
      </c>
      <c r="C54" s="4" t="s">
        <v>448</v>
      </c>
      <c r="D54" s="4" t="s">
        <v>254</v>
      </c>
      <c r="E54" s="4">
        <v>85</v>
      </c>
      <c r="F54" s="4" t="s">
        <v>441</v>
      </c>
      <c r="G54" s="4" t="s">
        <v>16</v>
      </c>
      <c r="H54" s="4" t="s">
        <v>442</v>
      </c>
      <c r="I54" s="4" t="s">
        <v>443</v>
      </c>
      <c r="J54" s="4" t="s">
        <v>441</v>
      </c>
      <c r="K54" s="4" t="s">
        <v>235</v>
      </c>
      <c r="L54" s="4" t="s">
        <v>444</v>
      </c>
      <c r="M54" s="4" t="s">
        <v>445</v>
      </c>
      <c r="N54" s="4" t="s">
        <v>446</v>
      </c>
    </row>
    <row r="55" spans="1:14" s="4" customFormat="1">
      <c r="A55" s="4" t="s">
        <v>1639</v>
      </c>
      <c r="B55" s="4" t="s">
        <v>550</v>
      </c>
      <c r="C55" s="4" t="s">
        <v>551</v>
      </c>
      <c r="D55" s="4" t="s">
        <v>254</v>
      </c>
      <c r="E55" s="4">
        <v>115</v>
      </c>
      <c r="F55" s="4" t="s">
        <v>441</v>
      </c>
      <c r="G55" s="4" t="s">
        <v>16</v>
      </c>
      <c r="H55" s="4" t="s">
        <v>552</v>
      </c>
      <c r="I55" s="4" t="s">
        <v>553</v>
      </c>
      <c r="J55" s="4" t="s">
        <v>441</v>
      </c>
      <c r="K55" s="4" t="s">
        <v>235</v>
      </c>
      <c r="L55" s="4" t="s">
        <v>444</v>
      </c>
      <c r="M55" s="4" t="s">
        <v>554</v>
      </c>
      <c r="N55" s="4" t="s">
        <v>555</v>
      </c>
    </row>
    <row r="56" spans="1:14" s="4" customFormat="1">
      <c r="A56" s="4" t="s">
        <v>1639</v>
      </c>
      <c r="B56" s="4" t="s">
        <v>562</v>
      </c>
      <c r="C56" s="4" t="s">
        <v>563</v>
      </c>
      <c r="D56" s="4" t="s">
        <v>254</v>
      </c>
      <c r="E56" s="4">
        <v>49</v>
      </c>
      <c r="F56" s="4" t="s">
        <v>247</v>
      </c>
      <c r="G56" s="4" t="s">
        <v>16</v>
      </c>
      <c r="H56" s="4" t="s">
        <v>564</v>
      </c>
      <c r="I56" s="4" t="s">
        <v>565</v>
      </c>
      <c r="J56" s="4" t="s">
        <v>247</v>
      </c>
      <c r="K56" s="4" t="s">
        <v>235</v>
      </c>
      <c r="L56" s="4" t="s">
        <v>250</v>
      </c>
      <c r="M56" s="4" t="s">
        <v>566</v>
      </c>
    </row>
    <row r="57" spans="1:14" s="4" customFormat="1">
      <c r="A57" s="4" t="s">
        <v>1639</v>
      </c>
      <c r="B57" s="4" t="s">
        <v>652</v>
      </c>
      <c r="C57" s="4" t="s">
        <v>653</v>
      </c>
      <c r="D57" s="4" t="s">
        <v>254</v>
      </c>
      <c r="E57" s="4">
        <v>100</v>
      </c>
      <c r="F57" s="4" t="s">
        <v>537</v>
      </c>
      <c r="G57" s="4" t="s">
        <v>16</v>
      </c>
      <c r="H57" s="4" t="s">
        <v>654</v>
      </c>
      <c r="I57" s="4" t="s">
        <v>655</v>
      </c>
      <c r="J57" s="4" t="s">
        <v>71</v>
      </c>
      <c r="K57" s="4" t="s">
        <v>235</v>
      </c>
      <c r="L57" s="4" t="s">
        <v>72</v>
      </c>
      <c r="M57" s="4" t="s">
        <v>656</v>
      </c>
      <c r="N57" s="4" t="s">
        <v>657</v>
      </c>
    </row>
    <row r="58" spans="1:14" s="4" customFormat="1">
      <c r="A58" s="4" t="s">
        <v>1639</v>
      </c>
      <c r="B58" s="4" t="s">
        <v>664</v>
      </c>
      <c r="C58" s="4" t="s">
        <v>665</v>
      </c>
      <c r="D58" s="4" t="s">
        <v>254</v>
      </c>
      <c r="E58" s="4">
        <v>65</v>
      </c>
      <c r="F58" s="4" t="s">
        <v>55</v>
      </c>
      <c r="G58" s="4" t="s">
        <v>16</v>
      </c>
      <c r="H58" s="4" t="s">
        <v>666</v>
      </c>
      <c r="I58" s="4" t="s">
        <v>667</v>
      </c>
      <c r="J58" s="4" t="s">
        <v>55</v>
      </c>
      <c r="K58" s="4" t="s">
        <v>235</v>
      </c>
      <c r="L58" s="4" t="s">
        <v>56</v>
      </c>
      <c r="M58" s="4" t="s">
        <v>668</v>
      </c>
      <c r="N58" s="4" t="s">
        <v>669</v>
      </c>
    </row>
    <row r="59" spans="1:14" s="4" customFormat="1">
      <c r="A59" s="4" t="s">
        <v>1639</v>
      </c>
      <c r="B59" s="4" t="s">
        <v>676</v>
      </c>
      <c r="C59" s="4" t="s">
        <v>677</v>
      </c>
      <c r="D59" s="4" t="s">
        <v>254</v>
      </c>
      <c r="E59" s="4">
        <v>60</v>
      </c>
      <c r="F59" s="4" t="s">
        <v>403</v>
      </c>
      <c r="G59" s="4" t="s">
        <v>16</v>
      </c>
      <c r="H59" s="4" t="s">
        <v>678</v>
      </c>
      <c r="I59" s="4" t="s">
        <v>679</v>
      </c>
      <c r="J59" s="4" t="s">
        <v>403</v>
      </c>
      <c r="K59" s="4" t="s">
        <v>235</v>
      </c>
      <c r="L59" s="4" t="s">
        <v>407</v>
      </c>
      <c r="M59" s="4" t="s">
        <v>680</v>
      </c>
      <c r="N59" s="4" t="s">
        <v>681</v>
      </c>
    </row>
    <row r="60" spans="1:14" s="4" customFormat="1">
      <c r="A60" s="4" t="s">
        <v>1639</v>
      </c>
      <c r="B60" s="4" t="s">
        <v>697</v>
      </c>
      <c r="C60" s="4" t="s">
        <v>698</v>
      </c>
      <c r="D60" s="4" t="s">
        <v>254</v>
      </c>
      <c r="E60" s="4">
        <v>465</v>
      </c>
      <c r="F60" s="4" t="s">
        <v>441</v>
      </c>
      <c r="G60" s="4" t="s">
        <v>16</v>
      </c>
      <c r="H60" s="4" t="s">
        <v>699</v>
      </c>
      <c r="I60" s="4" t="s">
        <v>700</v>
      </c>
      <c r="J60" s="4" t="s">
        <v>441</v>
      </c>
      <c r="K60" s="4" t="s">
        <v>235</v>
      </c>
      <c r="L60" s="4" t="s">
        <v>444</v>
      </c>
      <c r="M60" s="4" t="s">
        <v>701</v>
      </c>
      <c r="N60" s="4" t="s">
        <v>702</v>
      </c>
    </row>
    <row r="61" spans="1:14" s="4" customFormat="1">
      <c r="A61" s="4" t="s">
        <v>1639</v>
      </c>
      <c r="B61" s="4" t="s">
        <v>703</v>
      </c>
      <c r="C61" s="4" t="s">
        <v>704</v>
      </c>
      <c r="D61" s="4" t="s">
        <v>254</v>
      </c>
      <c r="E61" s="4">
        <v>29</v>
      </c>
      <c r="F61" s="4" t="s">
        <v>441</v>
      </c>
      <c r="G61" s="4" t="s">
        <v>16</v>
      </c>
      <c r="H61" s="4" t="s">
        <v>699</v>
      </c>
      <c r="I61" s="4" t="s">
        <v>700</v>
      </c>
      <c r="J61" s="4" t="s">
        <v>441</v>
      </c>
      <c r="K61" s="4" t="s">
        <v>235</v>
      </c>
      <c r="L61" s="4" t="s">
        <v>444</v>
      </c>
      <c r="M61" s="4" t="s">
        <v>701</v>
      </c>
      <c r="N61" s="4" t="s">
        <v>702</v>
      </c>
    </row>
    <row r="62" spans="1:14" s="4" customFormat="1">
      <c r="A62" s="4" t="s">
        <v>1639</v>
      </c>
      <c r="B62" s="4" t="s">
        <v>738</v>
      </c>
      <c r="C62" s="4" t="s">
        <v>739</v>
      </c>
      <c r="D62" s="4" t="s">
        <v>254</v>
      </c>
      <c r="E62" s="4">
        <v>236</v>
      </c>
      <c r="F62" s="4" t="s">
        <v>101</v>
      </c>
      <c r="G62" s="4" t="s">
        <v>16</v>
      </c>
      <c r="H62" s="4" t="s">
        <v>740</v>
      </c>
      <c r="I62" s="4" t="s">
        <v>741</v>
      </c>
      <c r="J62" s="4" t="s">
        <v>55</v>
      </c>
      <c r="K62" s="4" t="s">
        <v>235</v>
      </c>
      <c r="L62" s="4" t="s">
        <v>56</v>
      </c>
    </row>
    <row r="63" spans="1:14" s="4" customFormat="1">
      <c r="A63" s="4" t="s">
        <v>1639</v>
      </c>
      <c r="B63" s="4" t="s">
        <v>742</v>
      </c>
      <c r="C63" s="4" t="s">
        <v>743</v>
      </c>
      <c r="D63" s="4" t="s">
        <v>254</v>
      </c>
      <c r="E63" s="4">
        <v>98</v>
      </c>
      <c r="F63" s="4" t="s">
        <v>744</v>
      </c>
      <c r="G63" s="4" t="s">
        <v>16</v>
      </c>
      <c r="H63" s="4" t="s">
        <v>745</v>
      </c>
      <c r="I63" s="4" t="s">
        <v>746</v>
      </c>
      <c r="J63" s="4" t="s">
        <v>232</v>
      </c>
      <c r="K63" s="4" t="s">
        <v>235</v>
      </c>
      <c r="L63" s="4" t="s">
        <v>236</v>
      </c>
      <c r="M63" s="4" t="s">
        <v>747</v>
      </c>
    </row>
    <row r="64" spans="1:14" s="4" customFormat="1">
      <c r="A64" s="4" t="s">
        <v>1639</v>
      </c>
      <c r="B64" s="4" t="s">
        <v>748</v>
      </c>
      <c r="C64" s="4" t="s">
        <v>749</v>
      </c>
      <c r="D64" s="4" t="s">
        <v>254</v>
      </c>
      <c r="E64" s="4">
        <v>107</v>
      </c>
      <c r="F64" s="4" t="s">
        <v>319</v>
      </c>
      <c r="G64" s="4" t="s">
        <v>16</v>
      </c>
      <c r="H64" s="4" t="s">
        <v>750</v>
      </c>
      <c r="I64" s="4" t="s">
        <v>751</v>
      </c>
      <c r="J64" s="4" t="s">
        <v>71</v>
      </c>
      <c r="K64" s="4" t="s">
        <v>235</v>
      </c>
      <c r="L64" s="4" t="s">
        <v>72</v>
      </c>
      <c r="N64" s="4" t="s">
        <v>752</v>
      </c>
    </row>
    <row r="65" spans="1:14" s="4" customFormat="1">
      <c r="A65" s="4" t="s">
        <v>1639</v>
      </c>
      <c r="B65" s="4" t="s">
        <v>753</v>
      </c>
      <c r="C65" s="4" t="s">
        <v>754</v>
      </c>
      <c r="D65" s="4" t="s">
        <v>254</v>
      </c>
      <c r="E65" s="4">
        <v>182</v>
      </c>
      <c r="F65" s="4" t="s">
        <v>47</v>
      </c>
      <c r="G65" s="4" t="s">
        <v>16</v>
      </c>
      <c r="H65" s="4" t="s">
        <v>755</v>
      </c>
      <c r="I65" s="4" t="s">
        <v>756</v>
      </c>
      <c r="J65" s="4" t="s">
        <v>47</v>
      </c>
      <c r="K65" s="4" t="s">
        <v>235</v>
      </c>
      <c r="L65" s="4" t="s">
        <v>48</v>
      </c>
    </row>
    <row r="66" spans="1:14" s="4" customFormat="1">
      <c r="A66" s="4" t="s">
        <v>1639</v>
      </c>
      <c r="B66" s="4" t="s">
        <v>757</v>
      </c>
      <c r="C66" s="4" t="s">
        <v>758</v>
      </c>
      <c r="D66" s="4" t="s">
        <v>254</v>
      </c>
      <c r="E66" s="4">
        <v>255</v>
      </c>
      <c r="F66" s="4" t="s">
        <v>585</v>
      </c>
      <c r="G66" s="4" t="s">
        <v>16</v>
      </c>
      <c r="H66" s="4" t="s">
        <v>759</v>
      </c>
      <c r="I66" s="4" t="s">
        <v>760</v>
      </c>
      <c r="J66" s="4" t="s">
        <v>47</v>
      </c>
      <c r="K66" s="4" t="s">
        <v>235</v>
      </c>
      <c r="L66" s="4" t="s">
        <v>48</v>
      </c>
    </row>
    <row r="67" spans="1:14" s="4" customFormat="1">
      <c r="A67" s="4" t="s">
        <v>1639</v>
      </c>
      <c r="B67" s="4" t="s">
        <v>761</v>
      </c>
      <c r="C67" s="4" t="s">
        <v>762</v>
      </c>
      <c r="D67" s="4" t="s">
        <v>254</v>
      </c>
      <c r="E67" s="4">
        <v>435</v>
      </c>
      <c r="F67" s="4" t="s">
        <v>531</v>
      </c>
      <c r="G67" s="4" t="s">
        <v>16</v>
      </c>
      <c r="H67" s="4" t="s">
        <v>763</v>
      </c>
      <c r="I67" s="4" t="s">
        <v>764</v>
      </c>
      <c r="J67" s="4" t="s">
        <v>531</v>
      </c>
      <c r="K67" s="4" t="s">
        <v>235</v>
      </c>
      <c r="L67" s="4" t="s">
        <v>72</v>
      </c>
      <c r="M67" s="4" t="s">
        <v>765</v>
      </c>
      <c r="N67" s="4" t="s">
        <v>766</v>
      </c>
    </row>
    <row r="68" spans="1:14" s="4" customFormat="1">
      <c r="A68" s="4" t="s">
        <v>1639</v>
      </c>
      <c r="B68" s="4" t="s">
        <v>767</v>
      </c>
      <c r="C68" s="4" t="s">
        <v>768</v>
      </c>
      <c r="D68" s="4" t="s">
        <v>254</v>
      </c>
      <c r="E68" s="4">
        <v>318</v>
      </c>
      <c r="F68" s="4" t="s">
        <v>531</v>
      </c>
      <c r="G68" s="4" t="s">
        <v>16</v>
      </c>
      <c r="H68" s="4" t="s">
        <v>763</v>
      </c>
      <c r="I68" s="4" t="s">
        <v>764</v>
      </c>
      <c r="J68" s="4" t="s">
        <v>531</v>
      </c>
      <c r="K68" s="4" t="s">
        <v>235</v>
      </c>
      <c r="L68" s="4" t="s">
        <v>72</v>
      </c>
      <c r="M68" s="4" t="s">
        <v>765</v>
      </c>
      <c r="N68" s="4" t="s">
        <v>766</v>
      </c>
    </row>
    <row r="69" spans="1:14" s="4" customFormat="1">
      <c r="A69" s="4" t="s">
        <v>1639</v>
      </c>
      <c r="B69" s="4" t="s">
        <v>769</v>
      </c>
      <c r="C69" s="4" t="s">
        <v>770</v>
      </c>
      <c r="D69" s="4" t="s">
        <v>254</v>
      </c>
      <c r="E69" s="4">
        <v>98</v>
      </c>
      <c r="F69" s="4" t="s">
        <v>23</v>
      </c>
      <c r="G69" s="4" t="s">
        <v>16</v>
      </c>
      <c r="H69" s="4" t="s">
        <v>771</v>
      </c>
      <c r="I69" s="4" t="s">
        <v>772</v>
      </c>
      <c r="J69" s="4" t="s">
        <v>773</v>
      </c>
      <c r="K69" s="4" t="s">
        <v>235</v>
      </c>
      <c r="L69" s="4" t="s">
        <v>24</v>
      </c>
      <c r="M69" s="4" t="s">
        <v>774</v>
      </c>
      <c r="N69" s="4" t="s">
        <v>775</v>
      </c>
    </row>
    <row r="70" spans="1:14" s="4" customFormat="1">
      <c r="A70" s="4" t="s">
        <v>1639</v>
      </c>
      <c r="B70" s="4" t="s">
        <v>776</v>
      </c>
      <c r="C70" s="4" t="s">
        <v>777</v>
      </c>
      <c r="D70" s="4" t="s">
        <v>254</v>
      </c>
      <c r="E70" s="4">
        <v>219</v>
      </c>
      <c r="F70" s="4" t="s">
        <v>773</v>
      </c>
      <c r="G70" s="4" t="s">
        <v>16</v>
      </c>
      <c r="H70" s="4" t="s">
        <v>771</v>
      </c>
      <c r="I70" s="4" t="s">
        <v>772</v>
      </c>
      <c r="J70" s="4" t="s">
        <v>773</v>
      </c>
      <c r="K70" s="4" t="s">
        <v>235</v>
      </c>
      <c r="L70" s="4" t="s">
        <v>24</v>
      </c>
      <c r="M70" s="4" t="s">
        <v>774</v>
      </c>
      <c r="N70" s="4" t="s">
        <v>775</v>
      </c>
    </row>
    <row r="71" spans="1:14" s="4" customFormat="1">
      <c r="A71" s="4" t="s">
        <v>1639</v>
      </c>
      <c r="B71" s="4" t="s">
        <v>892</v>
      </c>
      <c r="C71" s="4" t="s">
        <v>893</v>
      </c>
      <c r="D71" s="4" t="s">
        <v>254</v>
      </c>
      <c r="E71" s="4">
        <v>500</v>
      </c>
      <c r="F71" s="4" t="s">
        <v>310</v>
      </c>
      <c r="G71" s="4" t="s">
        <v>16</v>
      </c>
      <c r="H71" s="4" t="s">
        <v>894</v>
      </c>
      <c r="I71" s="4" t="s">
        <v>895</v>
      </c>
      <c r="J71" s="4" t="s">
        <v>310</v>
      </c>
      <c r="K71" s="4" t="s">
        <v>235</v>
      </c>
      <c r="L71" s="4" t="s">
        <v>314</v>
      </c>
      <c r="M71" s="4" t="s">
        <v>896</v>
      </c>
    </row>
    <row r="72" spans="1:14" s="4" customFormat="1">
      <c r="A72" s="4" t="s">
        <v>1639</v>
      </c>
      <c r="B72" s="4" t="s">
        <v>918</v>
      </c>
      <c r="C72" s="4" t="s">
        <v>919</v>
      </c>
      <c r="D72" s="4" t="s">
        <v>254</v>
      </c>
      <c r="E72" s="4">
        <v>200</v>
      </c>
      <c r="F72" s="4" t="s">
        <v>47</v>
      </c>
      <c r="G72" s="4" t="s">
        <v>16</v>
      </c>
      <c r="H72" s="4" t="s">
        <v>920</v>
      </c>
      <c r="I72" s="4" t="s">
        <v>921</v>
      </c>
      <c r="J72" s="4" t="s">
        <v>47</v>
      </c>
      <c r="K72" s="4" t="s">
        <v>235</v>
      </c>
      <c r="L72" s="4" t="s">
        <v>48</v>
      </c>
      <c r="M72" s="4" t="s">
        <v>922</v>
      </c>
      <c r="N72" s="4" t="s">
        <v>923</v>
      </c>
    </row>
    <row r="73" spans="1:14" s="4" customFormat="1">
      <c r="A73" s="4" t="s">
        <v>1639</v>
      </c>
      <c r="B73" s="4" t="s">
        <v>982</v>
      </c>
      <c r="C73" s="4" t="s">
        <v>983</v>
      </c>
      <c r="D73" s="4" t="s">
        <v>254</v>
      </c>
      <c r="E73" s="4">
        <v>50</v>
      </c>
      <c r="F73" s="4" t="s">
        <v>39</v>
      </c>
      <c r="G73" s="4" t="s">
        <v>16</v>
      </c>
      <c r="H73" s="4" t="s">
        <v>984</v>
      </c>
      <c r="I73" s="4" t="s">
        <v>985</v>
      </c>
      <c r="J73" s="4" t="s">
        <v>986</v>
      </c>
      <c r="K73" s="4" t="s">
        <v>987</v>
      </c>
      <c r="L73" s="4" t="s">
        <v>988</v>
      </c>
      <c r="M73" s="4" t="s">
        <v>989</v>
      </c>
      <c r="N73" s="4" t="s">
        <v>990</v>
      </c>
    </row>
    <row r="74" spans="1:14" s="4" customFormat="1">
      <c r="A74" s="4" t="s">
        <v>1639</v>
      </c>
      <c r="B74" s="4" t="s">
        <v>229</v>
      </c>
      <c r="C74" s="4" t="s">
        <v>230</v>
      </c>
      <c r="D74" s="4" t="s">
        <v>231</v>
      </c>
      <c r="E74" s="4">
        <v>30</v>
      </c>
      <c r="F74" s="4" t="s">
        <v>232</v>
      </c>
      <c r="G74" s="4" t="s">
        <v>16</v>
      </c>
      <c r="H74" s="4" t="s">
        <v>233</v>
      </c>
      <c r="I74" s="4" t="s">
        <v>234</v>
      </c>
      <c r="J74" s="4" t="s">
        <v>232</v>
      </c>
      <c r="K74" s="4" t="s">
        <v>235</v>
      </c>
      <c r="L74" s="4" t="s">
        <v>236</v>
      </c>
      <c r="M74" s="4" t="s">
        <v>237</v>
      </c>
      <c r="N74" s="4" t="s">
        <v>238</v>
      </c>
    </row>
    <row r="75" spans="1:14" s="4" customFormat="1">
      <c r="A75" s="4" t="s">
        <v>1639</v>
      </c>
      <c r="B75" s="4" t="s">
        <v>245</v>
      </c>
      <c r="C75" s="4" t="s">
        <v>246</v>
      </c>
      <c r="D75" s="4" t="s">
        <v>231</v>
      </c>
      <c r="E75" s="4">
        <v>36</v>
      </c>
      <c r="F75" s="4" t="s">
        <v>247</v>
      </c>
      <c r="G75" s="4" t="s">
        <v>16</v>
      </c>
      <c r="H75" s="4" t="s">
        <v>248</v>
      </c>
      <c r="I75" s="4" t="s">
        <v>249</v>
      </c>
      <c r="J75" s="4" t="s">
        <v>247</v>
      </c>
      <c r="K75" s="4" t="s">
        <v>235</v>
      </c>
      <c r="L75" s="4" t="s">
        <v>250</v>
      </c>
      <c r="M75" s="4" t="s">
        <v>251</v>
      </c>
    </row>
    <row r="76" spans="1:14" s="4" customFormat="1">
      <c r="A76" s="4" t="s">
        <v>1639</v>
      </c>
      <c r="B76" s="4" t="s">
        <v>258</v>
      </c>
      <c r="C76" s="4" t="s">
        <v>259</v>
      </c>
      <c r="D76" s="4" t="s">
        <v>231</v>
      </c>
      <c r="E76" s="4">
        <v>188</v>
      </c>
      <c r="F76" s="4" t="s">
        <v>55</v>
      </c>
      <c r="G76" s="4" t="s">
        <v>16</v>
      </c>
      <c r="H76" s="4" t="s">
        <v>260</v>
      </c>
      <c r="I76" s="4" t="s">
        <v>261</v>
      </c>
      <c r="J76" s="4" t="s">
        <v>55</v>
      </c>
      <c r="K76" s="4" t="s">
        <v>235</v>
      </c>
      <c r="L76" s="4" t="s">
        <v>56</v>
      </c>
      <c r="M76" s="4" t="s">
        <v>262</v>
      </c>
      <c r="N76" s="4" t="s">
        <v>263</v>
      </c>
    </row>
    <row r="77" spans="1:14" s="4" customFormat="1">
      <c r="A77" s="4" t="s">
        <v>1639</v>
      </c>
      <c r="B77" s="4" t="s">
        <v>264</v>
      </c>
      <c r="C77" s="4" t="s">
        <v>265</v>
      </c>
      <c r="D77" s="4" t="s">
        <v>231</v>
      </c>
      <c r="E77" s="4">
        <v>42</v>
      </c>
      <c r="F77" s="4" t="s">
        <v>153</v>
      </c>
      <c r="G77" s="4" t="s">
        <v>16</v>
      </c>
      <c r="H77" s="4" t="s">
        <v>266</v>
      </c>
      <c r="I77" s="4" t="s">
        <v>267</v>
      </c>
      <c r="J77" s="4" t="s">
        <v>153</v>
      </c>
      <c r="K77" s="4" t="s">
        <v>235</v>
      </c>
      <c r="L77" s="4" t="s">
        <v>154</v>
      </c>
      <c r="M77" s="4" t="s">
        <v>268</v>
      </c>
      <c r="N77" s="4" t="s">
        <v>269</v>
      </c>
    </row>
    <row r="78" spans="1:14" s="4" customFormat="1">
      <c r="A78" s="4" t="s">
        <v>1639</v>
      </c>
      <c r="B78" s="4" t="s">
        <v>270</v>
      </c>
      <c r="C78" s="4" t="s">
        <v>271</v>
      </c>
      <c r="D78" s="4" t="s">
        <v>231</v>
      </c>
      <c r="E78" s="4">
        <v>310</v>
      </c>
      <c r="F78" s="4" t="s">
        <v>55</v>
      </c>
      <c r="G78" s="4" t="s">
        <v>16</v>
      </c>
      <c r="H78" s="4" t="s">
        <v>272</v>
      </c>
      <c r="I78" s="4" t="s">
        <v>273</v>
      </c>
      <c r="J78" s="4" t="s">
        <v>55</v>
      </c>
      <c r="K78" s="4" t="s">
        <v>235</v>
      </c>
      <c r="L78" s="4" t="s">
        <v>56</v>
      </c>
      <c r="M78" s="4" t="s">
        <v>274</v>
      </c>
      <c r="N78" s="4" t="s">
        <v>275</v>
      </c>
    </row>
    <row r="79" spans="1:14" s="4" customFormat="1">
      <c r="A79" s="4" t="s">
        <v>1639</v>
      </c>
      <c r="B79" s="4" t="s">
        <v>281</v>
      </c>
      <c r="C79" s="4" t="s">
        <v>282</v>
      </c>
      <c r="D79" s="4" t="s">
        <v>231</v>
      </c>
      <c r="E79" s="4">
        <v>112</v>
      </c>
      <c r="F79" s="4" t="s">
        <v>283</v>
      </c>
      <c r="G79" s="4" t="s">
        <v>16</v>
      </c>
      <c r="H79" s="4" t="s">
        <v>284</v>
      </c>
      <c r="I79" s="4" t="s">
        <v>285</v>
      </c>
      <c r="J79" s="4" t="s">
        <v>283</v>
      </c>
      <c r="K79" s="4" t="s">
        <v>235</v>
      </c>
      <c r="L79" s="4" t="s">
        <v>286</v>
      </c>
      <c r="M79" s="4" t="s">
        <v>287</v>
      </c>
    </row>
    <row r="80" spans="1:14" s="4" customFormat="1">
      <c r="A80" s="4" t="s">
        <v>1639</v>
      </c>
      <c r="B80" s="4" t="s">
        <v>288</v>
      </c>
      <c r="C80" s="4" t="s">
        <v>289</v>
      </c>
      <c r="D80" s="4" t="s">
        <v>231</v>
      </c>
      <c r="E80" s="4">
        <v>75</v>
      </c>
      <c r="F80" s="4" t="s">
        <v>290</v>
      </c>
      <c r="G80" s="4" t="s">
        <v>16</v>
      </c>
      <c r="H80" s="4" t="s">
        <v>291</v>
      </c>
      <c r="I80" s="4" t="s">
        <v>292</v>
      </c>
      <c r="J80" s="4" t="s">
        <v>293</v>
      </c>
      <c r="K80" s="4" t="s">
        <v>235</v>
      </c>
      <c r="L80" s="4" t="s">
        <v>294</v>
      </c>
      <c r="M80" s="4" t="s">
        <v>295</v>
      </c>
    </row>
    <row r="81" spans="1:14" s="4" customFormat="1">
      <c r="A81" s="4" t="s">
        <v>1639</v>
      </c>
      <c r="B81" s="4" t="s">
        <v>296</v>
      </c>
      <c r="C81" s="4" t="s">
        <v>297</v>
      </c>
      <c r="D81" s="4" t="s">
        <v>231</v>
      </c>
      <c r="E81" s="4">
        <v>174</v>
      </c>
      <c r="F81" s="4" t="s">
        <v>108</v>
      </c>
      <c r="G81" s="4" t="s">
        <v>16</v>
      </c>
      <c r="H81" s="4" t="s">
        <v>298</v>
      </c>
      <c r="I81" s="4" t="s">
        <v>299</v>
      </c>
      <c r="J81" s="4" t="s">
        <v>108</v>
      </c>
      <c r="K81" s="4" t="s">
        <v>235</v>
      </c>
      <c r="L81" s="4" t="s">
        <v>109</v>
      </c>
      <c r="M81" s="4" t="s">
        <v>300</v>
      </c>
      <c r="N81" s="4" t="s">
        <v>301</v>
      </c>
    </row>
    <row r="82" spans="1:14" s="4" customFormat="1">
      <c r="A82" s="4" t="s">
        <v>1639</v>
      </c>
      <c r="B82" s="4" t="s">
        <v>302</v>
      </c>
      <c r="C82" s="4" t="s">
        <v>303</v>
      </c>
      <c r="D82" s="4" t="s">
        <v>231</v>
      </c>
      <c r="E82" s="4">
        <v>200</v>
      </c>
      <c r="F82" s="4" t="s">
        <v>31</v>
      </c>
      <c r="G82" s="4" t="s">
        <v>16</v>
      </c>
      <c r="H82" s="4" t="s">
        <v>304</v>
      </c>
      <c r="I82" s="4" t="s">
        <v>305</v>
      </c>
      <c r="J82" s="4" t="s">
        <v>31</v>
      </c>
      <c r="K82" s="4" t="s">
        <v>235</v>
      </c>
      <c r="L82" s="4" t="s">
        <v>306</v>
      </c>
      <c r="M82" s="4" t="s">
        <v>307</v>
      </c>
    </row>
    <row r="83" spans="1:14" s="4" customFormat="1">
      <c r="A83" s="4" t="s">
        <v>1639</v>
      </c>
      <c r="B83" s="4" t="s">
        <v>308</v>
      </c>
      <c r="C83" s="4" t="s">
        <v>309</v>
      </c>
      <c r="D83" s="4" t="s">
        <v>231</v>
      </c>
      <c r="E83" s="4">
        <v>176</v>
      </c>
      <c r="F83" s="4" t="s">
        <v>310</v>
      </c>
      <c r="G83" s="4" t="s">
        <v>16</v>
      </c>
      <c r="H83" s="4" t="s">
        <v>311</v>
      </c>
      <c r="I83" s="4" t="s">
        <v>312</v>
      </c>
      <c r="J83" s="4" t="s">
        <v>313</v>
      </c>
      <c r="K83" s="4" t="s">
        <v>235</v>
      </c>
      <c r="L83" s="4" t="s">
        <v>314</v>
      </c>
      <c r="M83" s="4" t="s">
        <v>315</v>
      </c>
      <c r="N83" s="4" t="s">
        <v>316</v>
      </c>
    </row>
    <row r="84" spans="1:14" s="4" customFormat="1">
      <c r="A84" s="4" t="s">
        <v>1639</v>
      </c>
      <c r="B84" s="4" t="s">
        <v>317</v>
      </c>
      <c r="C84" s="4" t="s">
        <v>318</v>
      </c>
      <c r="D84" s="4" t="s">
        <v>231</v>
      </c>
      <c r="E84" s="4">
        <v>60</v>
      </c>
      <c r="F84" s="4" t="s">
        <v>319</v>
      </c>
      <c r="G84" s="4" t="s">
        <v>16</v>
      </c>
      <c r="H84" s="4" t="s">
        <v>320</v>
      </c>
      <c r="I84" s="4" t="s">
        <v>321</v>
      </c>
      <c r="J84" s="4" t="s">
        <v>319</v>
      </c>
      <c r="K84" s="4" t="s">
        <v>235</v>
      </c>
      <c r="L84" s="4" t="s">
        <v>322</v>
      </c>
      <c r="M84" s="4" t="s">
        <v>323</v>
      </c>
      <c r="N84" s="4" t="s">
        <v>324</v>
      </c>
    </row>
    <row r="85" spans="1:14" s="4" customFormat="1">
      <c r="A85" s="4" t="s">
        <v>1639</v>
      </c>
      <c r="B85" s="4" t="s">
        <v>325</v>
      </c>
      <c r="C85" s="4" t="s">
        <v>326</v>
      </c>
      <c r="D85" s="4" t="s">
        <v>231</v>
      </c>
      <c r="E85" s="4">
        <v>176</v>
      </c>
      <c r="F85" s="4" t="s">
        <v>327</v>
      </c>
      <c r="G85" s="4" t="s">
        <v>16</v>
      </c>
      <c r="H85" s="4" t="s">
        <v>326</v>
      </c>
      <c r="I85" s="4" t="s">
        <v>328</v>
      </c>
      <c r="J85" s="4" t="s">
        <v>327</v>
      </c>
      <c r="K85" s="4" t="s">
        <v>235</v>
      </c>
      <c r="L85" s="4" t="s">
        <v>329</v>
      </c>
    </row>
    <row r="86" spans="1:14" s="4" customFormat="1">
      <c r="A86" s="4" t="s">
        <v>1639</v>
      </c>
      <c r="B86" s="4" t="s">
        <v>330</v>
      </c>
      <c r="C86" s="4" t="s">
        <v>331</v>
      </c>
      <c r="D86" s="4" t="s">
        <v>231</v>
      </c>
      <c r="E86" s="4">
        <v>80</v>
      </c>
      <c r="F86" s="4" t="s">
        <v>332</v>
      </c>
      <c r="G86" s="4" t="s">
        <v>16</v>
      </c>
      <c r="H86" s="4" t="s">
        <v>333</v>
      </c>
      <c r="I86" s="4" t="s">
        <v>334</v>
      </c>
      <c r="J86" s="4" t="s">
        <v>332</v>
      </c>
      <c r="K86" s="4" t="s">
        <v>235</v>
      </c>
      <c r="L86" s="4" t="s">
        <v>335</v>
      </c>
      <c r="M86" s="4" t="s">
        <v>336</v>
      </c>
      <c r="N86" s="4" t="s">
        <v>337</v>
      </c>
    </row>
    <row r="87" spans="1:14" s="4" customFormat="1">
      <c r="A87" s="4" t="s">
        <v>1639</v>
      </c>
      <c r="B87" s="4" t="s">
        <v>338</v>
      </c>
      <c r="C87" s="4" t="s">
        <v>339</v>
      </c>
      <c r="D87" s="4" t="s">
        <v>231</v>
      </c>
      <c r="E87" s="4">
        <v>200</v>
      </c>
      <c r="F87" s="4" t="s">
        <v>23</v>
      </c>
      <c r="G87" s="4" t="s">
        <v>16</v>
      </c>
      <c r="H87" s="4" t="s">
        <v>340</v>
      </c>
      <c r="I87" s="4" t="s">
        <v>341</v>
      </c>
      <c r="J87" s="4" t="s">
        <v>23</v>
      </c>
      <c r="K87" s="4" t="s">
        <v>235</v>
      </c>
      <c r="L87" s="4" t="s">
        <v>24</v>
      </c>
      <c r="M87" s="4" t="s">
        <v>342</v>
      </c>
      <c r="N87" s="4" t="s">
        <v>343</v>
      </c>
    </row>
    <row r="88" spans="1:14" s="4" customFormat="1">
      <c r="A88" s="4" t="s">
        <v>1639</v>
      </c>
      <c r="B88" s="4" t="s">
        <v>344</v>
      </c>
      <c r="C88" s="4" t="s">
        <v>345</v>
      </c>
      <c r="D88" s="4" t="s">
        <v>231</v>
      </c>
      <c r="E88" s="4">
        <v>466</v>
      </c>
      <c r="F88" s="4" t="s">
        <v>23</v>
      </c>
      <c r="G88" s="4" t="s">
        <v>16</v>
      </c>
      <c r="H88" s="4" t="s">
        <v>346</v>
      </c>
      <c r="I88" s="4" t="s">
        <v>347</v>
      </c>
      <c r="J88" s="4" t="s">
        <v>23</v>
      </c>
      <c r="K88" s="4" t="s">
        <v>235</v>
      </c>
      <c r="L88" s="4" t="s">
        <v>24</v>
      </c>
      <c r="M88" s="4" t="s">
        <v>348</v>
      </c>
    </row>
    <row r="89" spans="1:14" s="4" customFormat="1">
      <c r="A89" s="4" t="s">
        <v>1639</v>
      </c>
      <c r="B89" s="4" t="s">
        <v>395</v>
      </c>
      <c r="C89" s="4" t="s">
        <v>396</v>
      </c>
      <c r="D89" s="4" t="s">
        <v>231</v>
      </c>
      <c r="E89" s="4">
        <v>25</v>
      </c>
      <c r="F89" s="4" t="s">
        <v>23</v>
      </c>
      <c r="G89" s="4" t="s">
        <v>16</v>
      </c>
      <c r="H89" s="4" t="s">
        <v>397</v>
      </c>
      <c r="I89" s="4" t="s">
        <v>398</v>
      </c>
      <c r="J89" s="4" t="s">
        <v>23</v>
      </c>
      <c r="K89" s="4" t="s">
        <v>235</v>
      </c>
      <c r="L89" s="4" t="s">
        <v>24</v>
      </c>
      <c r="M89" s="4" t="s">
        <v>399</v>
      </c>
      <c r="N89" s="4" t="s">
        <v>400</v>
      </c>
    </row>
    <row r="90" spans="1:14" s="4" customFormat="1">
      <c r="A90" s="4" t="s">
        <v>1639</v>
      </c>
      <c r="B90" s="4" t="s">
        <v>401</v>
      </c>
      <c r="C90" s="4" t="s">
        <v>402</v>
      </c>
      <c r="D90" s="4" t="s">
        <v>231</v>
      </c>
      <c r="E90" s="4">
        <v>595</v>
      </c>
      <c r="F90" s="4" t="s">
        <v>403</v>
      </c>
      <c r="G90" s="4" t="s">
        <v>16</v>
      </c>
      <c r="H90" s="4" t="s">
        <v>404</v>
      </c>
      <c r="I90" s="4" t="s">
        <v>405</v>
      </c>
      <c r="J90" s="4" t="s">
        <v>406</v>
      </c>
      <c r="K90" s="4" t="s">
        <v>235</v>
      </c>
      <c r="L90" s="4" t="s">
        <v>407</v>
      </c>
      <c r="M90" s="4" t="s">
        <v>408</v>
      </c>
      <c r="N90" s="4" t="s">
        <v>409</v>
      </c>
    </row>
    <row r="91" spans="1:14" s="4" customFormat="1">
      <c r="A91" s="4" t="s">
        <v>1639</v>
      </c>
      <c r="B91" s="4" t="s">
        <v>410</v>
      </c>
      <c r="C91" s="4" t="s">
        <v>411</v>
      </c>
      <c r="D91" s="4" t="s">
        <v>231</v>
      </c>
      <c r="E91" s="4">
        <v>25</v>
      </c>
      <c r="F91" s="4" t="s">
        <v>71</v>
      </c>
      <c r="G91" s="4" t="s">
        <v>16</v>
      </c>
      <c r="H91" s="4" t="s">
        <v>412</v>
      </c>
      <c r="I91" s="4" t="s">
        <v>413</v>
      </c>
      <c r="J91" s="4" t="s">
        <v>71</v>
      </c>
      <c r="K91" s="4" t="s">
        <v>235</v>
      </c>
      <c r="L91" s="4" t="s">
        <v>72</v>
      </c>
      <c r="M91" s="4" t="s">
        <v>414</v>
      </c>
      <c r="N91" s="4" t="s">
        <v>415</v>
      </c>
    </row>
    <row r="92" spans="1:14" s="4" customFormat="1">
      <c r="A92" s="4" t="s">
        <v>1639</v>
      </c>
      <c r="B92" s="4" t="s">
        <v>422</v>
      </c>
      <c r="C92" s="4" t="s">
        <v>423</v>
      </c>
      <c r="D92" s="4" t="s">
        <v>231</v>
      </c>
      <c r="E92" s="4">
        <v>270</v>
      </c>
      <c r="F92" s="4" t="s">
        <v>47</v>
      </c>
      <c r="G92" s="4" t="s">
        <v>16</v>
      </c>
      <c r="H92" s="4" t="s">
        <v>424</v>
      </c>
      <c r="I92" s="4" t="s">
        <v>425</v>
      </c>
      <c r="J92" s="4" t="s">
        <v>47</v>
      </c>
      <c r="K92" s="4" t="s">
        <v>235</v>
      </c>
      <c r="L92" s="4" t="s">
        <v>48</v>
      </c>
      <c r="M92" s="4" t="s">
        <v>426</v>
      </c>
    </row>
    <row r="93" spans="1:14" s="4" customFormat="1">
      <c r="A93" s="4" t="s">
        <v>1639</v>
      </c>
      <c r="B93" s="4" t="s">
        <v>427</v>
      </c>
      <c r="C93" s="4" t="s">
        <v>428</v>
      </c>
      <c r="D93" s="4" t="s">
        <v>231</v>
      </c>
      <c r="E93" s="4">
        <v>232</v>
      </c>
      <c r="F93" s="4" t="s">
        <v>31</v>
      </c>
      <c r="G93" s="4" t="s">
        <v>16</v>
      </c>
      <c r="H93" s="4" t="s">
        <v>429</v>
      </c>
      <c r="I93" s="4" t="s">
        <v>430</v>
      </c>
      <c r="J93" s="4" t="s">
        <v>31</v>
      </c>
      <c r="K93" s="4" t="s">
        <v>235</v>
      </c>
      <c r="L93" s="4" t="s">
        <v>431</v>
      </c>
      <c r="M93" s="4" t="s">
        <v>432</v>
      </c>
      <c r="N93" s="4" t="s">
        <v>433</v>
      </c>
    </row>
    <row r="94" spans="1:14" s="4" customFormat="1">
      <c r="A94" s="4" t="s">
        <v>1639</v>
      </c>
      <c r="B94" s="4" t="s">
        <v>449</v>
      </c>
      <c r="C94" s="4" t="s">
        <v>450</v>
      </c>
      <c r="D94" s="4" t="s">
        <v>231</v>
      </c>
      <c r="E94" s="4">
        <v>25</v>
      </c>
      <c r="F94" s="4" t="s">
        <v>232</v>
      </c>
      <c r="G94" s="4" t="s">
        <v>16</v>
      </c>
      <c r="H94" s="4" t="s">
        <v>451</v>
      </c>
      <c r="I94" s="4" t="s">
        <v>452</v>
      </c>
      <c r="J94" s="4" t="s">
        <v>232</v>
      </c>
      <c r="K94" s="4" t="s">
        <v>235</v>
      </c>
      <c r="L94" s="4" t="s">
        <v>236</v>
      </c>
      <c r="M94" s="4" t="s">
        <v>453</v>
      </c>
      <c r="N94" s="4" t="s">
        <v>454</v>
      </c>
    </row>
    <row r="95" spans="1:14" s="4" customFormat="1">
      <c r="A95" s="4" t="s">
        <v>1639</v>
      </c>
      <c r="B95" s="4" t="s">
        <v>455</v>
      </c>
      <c r="C95" s="4" t="s">
        <v>456</v>
      </c>
      <c r="D95" s="4" t="s">
        <v>231</v>
      </c>
      <c r="E95" s="4">
        <v>33</v>
      </c>
      <c r="F95" s="4" t="s">
        <v>23</v>
      </c>
      <c r="G95" s="4" t="s">
        <v>16</v>
      </c>
      <c r="H95" s="4" t="s">
        <v>457</v>
      </c>
      <c r="I95" s="4" t="s">
        <v>458</v>
      </c>
      <c r="J95" s="4" t="s">
        <v>23</v>
      </c>
      <c r="K95" s="4" t="s">
        <v>235</v>
      </c>
      <c r="L95" s="4" t="s">
        <v>24</v>
      </c>
      <c r="M95" s="4" t="s">
        <v>459</v>
      </c>
      <c r="N95" s="4" t="s">
        <v>460</v>
      </c>
    </row>
    <row r="96" spans="1:14" s="4" customFormat="1">
      <c r="A96" s="4" t="s">
        <v>1639</v>
      </c>
      <c r="B96" s="4" t="s">
        <v>461</v>
      </c>
      <c r="C96" s="4" t="s">
        <v>462</v>
      </c>
      <c r="D96" s="4" t="s">
        <v>231</v>
      </c>
      <c r="E96" s="4">
        <v>43</v>
      </c>
      <c r="F96" s="4" t="s">
        <v>23</v>
      </c>
      <c r="G96" s="4" t="s">
        <v>16</v>
      </c>
      <c r="H96" s="4" t="s">
        <v>457</v>
      </c>
      <c r="I96" s="4" t="s">
        <v>458</v>
      </c>
      <c r="J96" s="4" t="s">
        <v>23</v>
      </c>
      <c r="K96" s="4" t="s">
        <v>235</v>
      </c>
      <c r="L96" s="4" t="s">
        <v>24</v>
      </c>
      <c r="M96" s="4" t="s">
        <v>459</v>
      </c>
      <c r="N96" s="4" t="s">
        <v>460</v>
      </c>
    </row>
    <row r="97" spans="1:14" s="4" customFormat="1">
      <c r="A97" s="4" t="s">
        <v>1639</v>
      </c>
      <c r="B97" s="4" t="s">
        <v>463</v>
      </c>
      <c r="C97" s="4" t="s">
        <v>464</v>
      </c>
      <c r="D97" s="4" t="s">
        <v>231</v>
      </c>
      <c r="E97" s="4">
        <v>150</v>
      </c>
      <c r="F97" s="4" t="s">
        <v>465</v>
      </c>
      <c r="G97" s="4" t="s">
        <v>16</v>
      </c>
      <c r="H97" s="4" t="s">
        <v>466</v>
      </c>
      <c r="I97" s="4" t="s">
        <v>467</v>
      </c>
      <c r="J97" s="4" t="s">
        <v>465</v>
      </c>
      <c r="K97" s="4" t="s">
        <v>235</v>
      </c>
      <c r="L97" s="4" t="s">
        <v>468</v>
      </c>
      <c r="M97" s="4" t="s">
        <v>469</v>
      </c>
      <c r="N97" s="4" t="s">
        <v>470</v>
      </c>
    </row>
    <row r="98" spans="1:14" s="4" customFormat="1">
      <c r="A98" s="4" t="s">
        <v>1639</v>
      </c>
      <c r="B98" s="4" t="s">
        <v>482</v>
      </c>
      <c r="C98" s="4" t="s">
        <v>483</v>
      </c>
      <c r="D98" s="4" t="s">
        <v>231</v>
      </c>
      <c r="E98" s="4">
        <v>124</v>
      </c>
      <c r="F98" s="4" t="s">
        <v>232</v>
      </c>
      <c r="G98" s="4" t="s">
        <v>16</v>
      </c>
      <c r="H98" s="4" t="s">
        <v>483</v>
      </c>
      <c r="I98" s="4" t="s">
        <v>484</v>
      </c>
      <c r="J98" s="4" t="s">
        <v>232</v>
      </c>
      <c r="K98" s="4" t="s">
        <v>235</v>
      </c>
      <c r="L98" s="4" t="s">
        <v>236</v>
      </c>
      <c r="M98" s="4" t="s">
        <v>485</v>
      </c>
      <c r="N98" s="4" t="s">
        <v>486</v>
      </c>
    </row>
    <row r="99" spans="1:14" s="4" customFormat="1">
      <c r="A99" s="4" t="s">
        <v>1639</v>
      </c>
      <c r="B99" s="4" t="s">
        <v>493</v>
      </c>
      <c r="C99" s="4" t="s">
        <v>494</v>
      </c>
      <c r="D99" s="4" t="s">
        <v>231</v>
      </c>
      <c r="E99" s="4">
        <v>340</v>
      </c>
      <c r="F99" s="4" t="s">
        <v>93</v>
      </c>
      <c r="G99" s="4" t="s">
        <v>16</v>
      </c>
      <c r="H99" s="4" t="s">
        <v>495</v>
      </c>
      <c r="I99" s="4" t="s">
        <v>496</v>
      </c>
      <c r="J99" s="4" t="s">
        <v>93</v>
      </c>
      <c r="K99" s="4" t="s">
        <v>235</v>
      </c>
      <c r="L99" s="4" t="s">
        <v>94</v>
      </c>
    </row>
    <row r="100" spans="1:14" s="4" customFormat="1">
      <c r="A100" s="4" t="s">
        <v>1639</v>
      </c>
      <c r="B100" s="4" t="s">
        <v>503</v>
      </c>
      <c r="C100" s="4" t="s">
        <v>504</v>
      </c>
      <c r="D100" s="4" t="s">
        <v>231</v>
      </c>
      <c r="E100" s="4">
        <v>210</v>
      </c>
      <c r="F100" s="4" t="s">
        <v>505</v>
      </c>
      <c r="G100" s="4" t="s">
        <v>16</v>
      </c>
      <c r="H100" s="4" t="s">
        <v>506</v>
      </c>
      <c r="I100" s="4" t="s">
        <v>507</v>
      </c>
      <c r="J100" s="4" t="s">
        <v>505</v>
      </c>
      <c r="K100" s="4" t="s">
        <v>235</v>
      </c>
      <c r="L100" s="4" t="s">
        <v>72</v>
      </c>
      <c r="M100" s="4" t="s">
        <v>508</v>
      </c>
    </row>
    <row r="101" spans="1:14" s="4" customFormat="1">
      <c r="A101" s="4" t="s">
        <v>1639</v>
      </c>
      <c r="B101" s="4" t="s">
        <v>515</v>
      </c>
      <c r="C101" s="4" t="s">
        <v>516</v>
      </c>
      <c r="D101" s="4" t="s">
        <v>231</v>
      </c>
      <c r="E101" s="4">
        <v>150</v>
      </c>
      <c r="F101" s="4" t="s">
        <v>55</v>
      </c>
      <c r="G101" s="4" t="s">
        <v>16</v>
      </c>
      <c r="H101" s="4" t="s">
        <v>517</v>
      </c>
      <c r="I101" s="4" t="s">
        <v>518</v>
      </c>
      <c r="J101" s="4" t="s">
        <v>55</v>
      </c>
      <c r="K101" s="4" t="s">
        <v>235</v>
      </c>
      <c r="L101" s="4" t="s">
        <v>56</v>
      </c>
      <c r="M101" s="4" t="s">
        <v>519</v>
      </c>
      <c r="N101" s="4" t="s">
        <v>520</v>
      </c>
    </row>
    <row r="102" spans="1:14" s="4" customFormat="1">
      <c r="A102" s="4" t="s">
        <v>1639</v>
      </c>
      <c r="B102" s="4" t="s">
        <v>535</v>
      </c>
      <c r="C102" s="4" t="s">
        <v>536</v>
      </c>
      <c r="D102" s="4" t="s">
        <v>231</v>
      </c>
      <c r="E102" s="4">
        <v>35</v>
      </c>
      <c r="F102" s="4" t="s">
        <v>537</v>
      </c>
      <c r="G102" s="4" t="s">
        <v>16</v>
      </c>
      <c r="H102" s="4" t="s">
        <v>538</v>
      </c>
      <c r="I102" s="4" t="s">
        <v>539</v>
      </c>
      <c r="J102" s="4" t="s">
        <v>71</v>
      </c>
      <c r="K102" s="4" t="s">
        <v>235</v>
      </c>
      <c r="L102" s="4" t="s">
        <v>72</v>
      </c>
      <c r="M102" s="4" t="s">
        <v>540</v>
      </c>
    </row>
    <row r="103" spans="1:14" s="4" customFormat="1">
      <c r="A103" s="4" t="s">
        <v>1639</v>
      </c>
      <c r="B103" s="4" t="s">
        <v>567</v>
      </c>
      <c r="C103" s="4" t="s">
        <v>568</v>
      </c>
      <c r="D103" s="4" t="s">
        <v>231</v>
      </c>
      <c r="E103" s="4">
        <v>34</v>
      </c>
      <c r="F103" s="4" t="s">
        <v>569</v>
      </c>
      <c r="G103" s="4" t="s">
        <v>16</v>
      </c>
      <c r="H103" s="4" t="s">
        <v>570</v>
      </c>
      <c r="I103" s="4" t="s">
        <v>571</v>
      </c>
      <c r="J103" s="4" t="s">
        <v>572</v>
      </c>
      <c r="K103" s="4" t="s">
        <v>235</v>
      </c>
      <c r="L103" s="4" t="s">
        <v>573</v>
      </c>
      <c r="M103" s="4" t="s">
        <v>574</v>
      </c>
      <c r="N103" s="4" t="s">
        <v>575</v>
      </c>
    </row>
    <row r="104" spans="1:14" s="4" customFormat="1">
      <c r="A104" s="4" t="s">
        <v>1639</v>
      </c>
      <c r="B104" s="4" t="s">
        <v>576</v>
      </c>
      <c r="C104" s="4" t="s">
        <v>577</v>
      </c>
      <c r="D104" s="4" t="s">
        <v>231</v>
      </c>
      <c r="E104" s="4">
        <v>81</v>
      </c>
      <c r="F104" s="4" t="s">
        <v>569</v>
      </c>
      <c r="G104" s="4" t="s">
        <v>16</v>
      </c>
      <c r="H104" s="4" t="s">
        <v>578</v>
      </c>
      <c r="I104" s="4" t="s">
        <v>579</v>
      </c>
      <c r="J104" s="4" t="s">
        <v>580</v>
      </c>
      <c r="K104" s="4" t="s">
        <v>235</v>
      </c>
      <c r="L104" s="4" t="s">
        <v>581</v>
      </c>
      <c r="M104" s="4" t="s">
        <v>582</v>
      </c>
    </row>
    <row r="105" spans="1:14" s="4" customFormat="1">
      <c r="A105" s="4" t="s">
        <v>1639</v>
      </c>
      <c r="B105" s="4" t="s">
        <v>583</v>
      </c>
      <c r="C105" s="4" t="s">
        <v>584</v>
      </c>
      <c r="D105" s="4" t="s">
        <v>231</v>
      </c>
      <c r="E105" s="4">
        <v>125</v>
      </c>
      <c r="F105" s="4" t="s">
        <v>585</v>
      </c>
      <c r="G105" s="4" t="s">
        <v>16</v>
      </c>
      <c r="H105" s="4" t="s">
        <v>586</v>
      </c>
      <c r="I105" s="4" t="s">
        <v>587</v>
      </c>
      <c r="J105" s="4" t="s">
        <v>585</v>
      </c>
      <c r="K105" s="4" t="s">
        <v>235</v>
      </c>
      <c r="L105" s="4" t="s">
        <v>138</v>
      </c>
      <c r="M105" s="4" t="s">
        <v>588</v>
      </c>
      <c r="N105" s="4" t="s">
        <v>589</v>
      </c>
    </row>
    <row r="106" spans="1:14" s="4" customFormat="1">
      <c r="A106" s="4" t="s">
        <v>1639</v>
      </c>
      <c r="B106" s="4" t="s">
        <v>590</v>
      </c>
      <c r="C106" s="4" t="s">
        <v>591</v>
      </c>
      <c r="D106" s="4" t="s">
        <v>231</v>
      </c>
      <c r="E106" s="4">
        <v>90</v>
      </c>
      <c r="F106" s="4" t="s">
        <v>585</v>
      </c>
      <c r="G106" s="4" t="s">
        <v>16</v>
      </c>
      <c r="H106" s="4" t="s">
        <v>591</v>
      </c>
      <c r="I106" s="4" t="s">
        <v>592</v>
      </c>
      <c r="J106" s="4" t="s">
        <v>137</v>
      </c>
      <c r="K106" s="4" t="s">
        <v>235</v>
      </c>
      <c r="L106" s="4" t="s">
        <v>138</v>
      </c>
      <c r="M106" s="4" t="s">
        <v>588</v>
      </c>
    </row>
    <row r="107" spans="1:14" s="4" customFormat="1">
      <c r="A107" s="4" t="s">
        <v>1639</v>
      </c>
      <c r="B107" s="4" t="s">
        <v>600</v>
      </c>
      <c r="C107" s="4" t="s">
        <v>601</v>
      </c>
      <c r="D107" s="4" t="s">
        <v>231</v>
      </c>
      <c r="E107" s="4">
        <v>25</v>
      </c>
      <c r="F107" s="4" t="s">
        <v>23</v>
      </c>
      <c r="G107" s="4" t="s">
        <v>16</v>
      </c>
      <c r="H107" s="4" t="s">
        <v>601</v>
      </c>
      <c r="I107" s="4" t="s">
        <v>602</v>
      </c>
      <c r="J107" s="4" t="s">
        <v>23</v>
      </c>
      <c r="K107" s="4" t="s">
        <v>235</v>
      </c>
      <c r="L107" s="4" t="s">
        <v>24</v>
      </c>
    </row>
    <row r="108" spans="1:14" s="4" customFormat="1">
      <c r="A108" s="4" t="s">
        <v>1639</v>
      </c>
      <c r="B108" s="4" t="s">
        <v>603</v>
      </c>
      <c r="C108" s="4" t="s">
        <v>604</v>
      </c>
      <c r="D108" s="4" t="s">
        <v>231</v>
      </c>
      <c r="E108" s="4">
        <v>40</v>
      </c>
      <c r="F108" s="4" t="s">
        <v>605</v>
      </c>
      <c r="G108" s="4" t="s">
        <v>16</v>
      </c>
      <c r="H108" s="4" t="s">
        <v>606</v>
      </c>
      <c r="I108" s="4" t="s">
        <v>607</v>
      </c>
      <c r="J108" s="4" t="s">
        <v>169</v>
      </c>
      <c r="K108" s="4" t="s">
        <v>235</v>
      </c>
      <c r="L108" s="4" t="s">
        <v>608</v>
      </c>
      <c r="M108" s="4" t="s">
        <v>609</v>
      </c>
    </row>
    <row r="109" spans="1:14" s="4" customFormat="1">
      <c r="A109" s="4" t="s">
        <v>1639</v>
      </c>
      <c r="B109" s="4" t="s">
        <v>610</v>
      </c>
      <c r="C109" s="4" t="s">
        <v>611</v>
      </c>
      <c r="D109" s="4" t="s">
        <v>231</v>
      </c>
      <c r="E109" s="4">
        <v>150</v>
      </c>
      <c r="F109" s="4" t="s">
        <v>605</v>
      </c>
      <c r="G109" s="4" t="s">
        <v>16</v>
      </c>
      <c r="H109" s="4" t="s">
        <v>606</v>
      </c>
      <c r="I109" s="4" t="s">
        <v>607</v>
      </c>
      <c r="J109" s="4" t="s">
        <v>169</v>
      </c>
      <c r="K109" s="4" t="s">
        <v>235</v>
      </c>
      <c r="L109" s="4" t="s">
        <v>608</v>
      </c>
      <c r="M109" s="4" t="s">
        <v>609</v>
      </c>
    </row>
    <row r="110" spans="1:14" s="4" customFormat="1">
      <c r="A110" s="4" t="s">
        <v>1639</v>
      </c>
      <c r="B110" s="4" t="s">
        <v>612</v>
      </c>
      <c r="C110" s="4" t="s">
        <v>613</v>
      </c>
      <c r="D110" s="4" t="s">
        <v>231</v>
      </c>
      <c r="E110" s="4">
        <v>75</v>
      </c>
      <c r="F110" s="4" t="s">
        <v>614</v>
      </c>
      <c r="G110" s="4" t="s">
        <v>16</v>
      </c>
      <c r="H110" s="4" t="s">
        <v>615</v>
      </c>
      <c r="I110" s="4" t="s">
        <v>616</v>
      </c>
      <c r="J110" s="4" t="s">
        <v>131</v>
      </c>
      <c r="K110" s="4" t="s">
        <v>235</v>
      </c>
      <c r="L110" s="4" t="s">
        <v>132</v>
      </c>
      <c r="M110" s="4" t="s">
        <v>617</v>
      </c>
      <c r="N110" s="4" t="s">
        <v>618</v>
      </c>
    </row>
    <row r="111" spans="1:14" s="4" customFormat="1">
      <c r="A111" s="4" t="s">
        <v>1639</v>
      </c>
      <c r="B111" s="4" t="s">
        <v>619</v>
      </c>
      <c r="C111" s="4" t="s">
        <v>620</v>
      </c>
      <c r="D111" s="4" t="s">
        <v>231</v>
      </c>
      <c r="E111" s="4">
        <v>186</v>
      </c>
      <c r="F111" s="4" t="s">
        <v>93</v>
      </c>
      <c r="G111" s="4" t="s">
        <v>16</v>
      </c>
      <c r="H111" s="4" t="s">
        <v>621</v>
      </c>
      <c r="I111" s="4" t="s">
        <v>622</v>
      </c>
      <c r="J111" s="4" t="s">
        <v>623</v>
      </c>
      <c r="K111" s="4" t="s">
        <v>235</v>
      </c>
      <c r="L111" s="4" t="s">
        <v>624</v>
      </c>
      <c r="M111" s="4" t="s">
        <v>625</v>
      </c>
    </row>
    <row r="112" spans="1:14" s="4" customFormat="1">
      <c r="A112" s="4" t="s">
        <v>1639</v>
      </c>
      <c r="B112" s="4" t="s">
        <v>626</v>
      </c>
      <c r="C112" s="4" t="s">
        <v>627</v>
      </c>
      <c r="D112" s="4" t="s">
        <v>231</v>
      </c>
      <c r="E112" s="4">
        <v>36</v>
      </c>
      <c r="F112" s="4" t="s">
        <v>585</v>
      </c>
      <c r="G112" s="4" t="s">
        <v>16</v>
      </c>
      <c r="H112" s="4" t="s">
        <v>627</v>
      </c>
      <c r="I112" s="4" t="s">
        <v>628</v>
      </c>
      <c r="J112" s="4" t="s">
        <v>137</v>
      </c>
      <c r="K112" s="4" t="s">
        <v>235</v>
      </c>
      <c r="L112" s="4" t="s">
        <v>138</v>
      </c>
      <c r="M112" s="4" t="s">
        <v>629</v>
      </c>
      <c r="N112" s="4" t="s">
        <v>630</v>
      </c>
    </row>
    <row r="113" spans="1:14" s="4" customFormat="1">
      <c r="A113" s="4" t="s">
        <v>1639</v>
      </c>
      <c r="B113" s="4" t="s">
        <v>631</v>
      </c>
      <c r="C113" s="4" t="s">
        <v>632</v>
      </c>
      <c r="D113" s="4" t="s">
        <v>231</v>
      </c>
      <c r="E113" s="4">
        <v>285</v>
      </c>
      <c r="F113" s="4" t="s">
        <v>614</v>
      </c>
      <c r="G113" s="4" t="s">
        <v>16</v>
      </c>
      <c r="H113" s="4" t="s">
        <v>633</v>
      </c>
      <c r="I113" s="4" t="s">
        <v>634</v>
      </c>
      <c r="J113" s="4" t="s">
        <v>131</v>
      </c>
      <c r="K113" s="4" t="s">
        <v>235</v>
      </c>
      <c r="L113" s="4" t="s">
        <v>132</v>
      </c>
      <c r="M113" s="4" t="s">
        <v>635</v>
      </c>
      <c r="N113" s="4" t="s">
        <v>636</v>
      </c>
    </row>
    <row r="114" spans="1:14" s="4" customFormat="1">
      <c r="A114" s="4" t="s">
        <v>1639</v>
      </c>
      <c r="B114" s="4" t="s">
        <v>637</v>
      </c>
      <c r="C114" s="4" t="s">
        <v>638</v>
      </c>
      <c r="D114" s="4" t="s">
        <v>231</v>
      </c>
      <c r="E114" s="4">
        <v>113</v>
      </c>
      <c r="F114" s="4" t="s">
        <v>31</v>
      </c>
      <c r="G114" s="4" t="s">
        <v>16</v>
      </c>
      <c r="H114" s="4" t="s">
        <v>639</v>
      </c>
      <c r="I114" s="4" t="s">
        <v>640</v>
      </c>
      <c r="J114" s="4" t="s">
        <v>641</v>
      </c>
      <c r="K114" s="4" t="s">
        <v>235</v>
      </c>
      <c r="L114" s="4" t="s">
        <v>642</v>
      </c>
      <c r="M114" s="4" t="s">
        <v>643</v>
      </c>
      <c r="N114" s="4" t="s">
        <v>644</v>
      </c>
    </row>
    <row r="115" spans="1:14" s="4" customFormat="1">
      <c r="A115" s="4" t="s">
        <v>1639</v>
      </c>
      <c r="B115" s="4" t="s">
        <v>670</v>
      </c>
      <c r="C115" s="4" t="s">
        <v>671</v>
      </c>
      <c r="D115" s="4" t="s">
        <v>231</v>
      </c>
      <c r="E115" s="4">
        <v>200</v>
      </c>
      <c r="F115" s="4" t="s">
        <v>55</v>
      </c>
      <c r="G115" s="4" t="s">
        <v>16</v>
      </c>
      <c r="H115" s="4" t="s">
        <v>672</v>
      </c>
      <c r="I115" s="4" t="s">
        <v>673</v>
      </c>
      <c r="J115" s="4" t="s">
        <v>55</v>
      </c>
      <c r="K115" s="4" t="s">
        <v>235</v>
      </c>
      <c r="L115" s="4" t="s">
        <v>56</v>
      </c>
      <c r="M115" s="4" t="s">
        <v>674</v>
      </c>
      <c r="N115" s="4" t="s">
        <v>675</v>
      </c>
    </row>
    <row r="116" spans="1:14" s="4" customFormat="1">
      <c r="A116" s="4" t="s">
        <v>1639</v>
      </c>
      <c r="B116" s="4" t="s">
        <v>682</v>
      </c>
      <c r="C116" s="4" t="s">
        <v>683</v>
      </c>
      <c r="D116" s="4" t="s">
        <v>231</v>
      </c>
      <c r="E116" s="4">
        <v>210</v>
      </c>
      <c r="F116" s="4" t="s">
        <v>101</v>
      </c>
      <c r="G116" s="4" t="s">
        <v>16</v>
      </c>
      <c r="H116" s="4" t="s">
        <v>684</v>
      </c>
      <c r="I116" s="4" t="s">
        <v>685</v>
      </c>
      <c r="J116" s="4" t="s">
        <v>101</v>
      </c>
      <c r="K116" s="4" t="s">
        <v>235</v>
      </c>
      <c r="L116" s="4" t="s">
        <v>102</v>
      </c>
      <c r="M116" s="4" t="s">
        <v>686</v>
      </c>
      <c r="N116" s="4" t="s">
        <v>687</v>
      </c>
    </row>
    <row r="117" spans="1:14" s="4" customFormat="1">
      <c r="A117" s="4" t="s">
        <v>1639</v>
      </c>
      <c r="B117" s="4" t="s">
        <v>712</v>
      </c>
      <c r="C117" s="4" t="s">
        <v>713</v>
      </c>
      <c r="D117" s="4" t="s">
        <v>231</v>
      </c>
      <c r="E117" s="4">
        <v>135</v>
      </c>
      <c r="F117" s="4" t="s">
        <v>55</v>
      </c>
      <c r="G117" s="4" t="s">
        <v>16</v>
      </c>
      <c r="H117" s="4" t="s">
        <v>714</v>
      </c>
      <c r="I117" s="4" t="s">
        <v>715</v>
      </c>
      <c r="J117" s="4" t="s">
        <v>387</v>
      </c>
      <c r="K117" s="4" t="s">
        <v>235</v>
      </c>
      <c r="L117" s="4" t="s">
        <v>716</v>
      </c>
      <c r="M117" s="4" t="s">
        <v>717</v>
      </c>
    </row>
    <row r="118" spans="1:14" s="4" customFormat="1">
      <c r="A118" s="4" t="s">
        <v>1639</v>
      </c>
      <c r="B118" s="4" t="s">
        <v>718</v>
      </c>
      <c r="C118" s="4" t="s">
        <v>719</v>
      </c>
      <c r="D118" s="4" t="s">
        <v>231</v>
      </c>
      <c r="E118" s="4">
        <v>35</v>
      </c>
      <c r="F118" s="4" t="s">
        <v>23</v>
      </c>
      <c r="G118" s="4" t="s">
        <v>16</v>
      </c>
      <c r="H118" s="4" t="s">
        <v>720</v>
      </c>
      <c r="I118" s="4" t="s">
        <v>721</v>
      </c>
      <c r="J118" s="4" t="s">
        <v>23</v>
      </c>
      <c r="K118" s="4" t="s">
        <v>235</v>
      </c>
      <c r="L118" s="4" t="s">
        <v>24</v>
      </c>
      <c r="M118" s="4" t="s">
        <v>722</v>
      </c>
    </row>
    <row r="119" spans="1:14" s="4" customFormat="1">
      <c r="A119" s="4" t="s">
        <v>1639</v>
      </c>
      <c r="B119" s="4" t="s">
        <v>778</v>
      </c>
      <c r="C119" s="4" t="s">
        <v>779</v>
      </c>
      <c r="D119" s="4" t="s">
        <v>231</v>
      </c>
      <c r="E119" s="4">
        <v>252</v>
      </c>
      <c r="F119" s="4" t="s">
        <v>71</v>
      </c>
      <c r="G119" s="4" t="s">
        <v>16</v>
      </c>
      <c r="H119" s="4" t="s">
        <v>780</v>
      </c>
      <c r="I119" s="4" t="s">
        <v>781</v>
      </c>
      <c r="J119" s="4" t="s">
        <v>71</v>
      </c>
      <c r="K119" s="4" t="s">
        <v>235</v>
      </c>
      <c r="L119" s="4" t="s">
        <v>72</v>
      </c>
      <c r="M119" s="4" t="s">
        <v>782</v>
      </c>
      <c r="N119" s="4" t="s">
        <v>783</v>
      </c>
    </row>
    <row r="120" spans="1:14" s="4" customFormat="1">
      <c r="A120" s="4" t="s">
        <v>1639</v>
      </c>
      <c r="B120" s="4" t="s">
        <v>784</v>
      </c>
      <c r="C120" s="4" t="s">
        <v>785</v>
      </c>
      <c r="D120" s="4" t="s">
        <v>231</v>
      </c>
      <c r="E120" s="4">
        <v>41</v>
      </c>
      <c r="F120" s="4" t="s">
        <v>786</v>
      </c>
      <c r="G120" s="4" t="s">
        <v>16</v>
      </c>
      <c r="H120" s="4" t="s">
        <v>787</v>
      </c>
      <c r="I120" s="4" t="s">
        <v>788</v>
      </c>
      <c r="J120" s="4" t="s">
        <v>789</v>
      </c>
      <c r="K120" s="4" t="s">
        <v>235</v>
      </c>
      <c r="L120" s="4" t="s">
        <v>790</v>
      </c>
      <c r="M120" s="4" t="s">
        <v>791</v>
      </c>
    </row>
    <row r="121" spans="1:14" s="4" customFormat="1">
      <c r="A121" s="4" t="s">
        <v>1639</v>
      </c>
      <c r="B121" s="4" t="s">
        <v>792</v>
      </c>
      <c r="C121" s="4" t="s">
        <v>793</v>
      </c>
      <c r="D121" s="4" t="s">
        <v>231</v>
      </c>
      <c r="E121" s="4">
        <v>113</v>
      </c>
      <c r="F121" s="4" t="s">
        <v>55</v>
      </c>
      <c r="G121" s="4" t="s">
        <v>16</v>
      </c>
      <c r="H121" s="4" t="s">
        <v>794</v>
      </c>
      <c r="I121" s="4" t="s">
        <v>795</v>
      </c>
      <c r="J121" s="4" t="s">
        <v>55</v>
      </c>
      <c r="K121" s="4" t="s">
        <v>235</v>
      </c>
      <c r="L121" s="4" t="s">
        <v>56</v>
      </c>
      <c r="M121" s="4" t="s">
        <v>796</v>
      </c>
      <c r="N121" s="4" t="s">
        <v>797</v>
      </c>
    </row>
    <row r="122" spans="1:14" s="4" customFormat="1">
      <c r="A122" s="4" t="s">
        <v>1639</v>
      </c>
      <c r="B122" s="4" t="s">
        <v>798</v>
      </c>
      <c r="C122" s="4" t="s">
        <v>799</v>
      </c>
      <c r="D122" s="4" t="s">
        <v>231</v>
      </c>
      <c r="E122" s="4">
        <v>28</v>
      </c>
      <c r="F122" s="4" t="s">
        <v>55</v>
      </c>
      <c r="G122" s="4" t="s">
        <v>16</v>
      </c>
      <c r="H122" s="4" t="s">
        <v>800</v>
      </c>
      <c r="I122" s="4" t="s">
        <v>801</v>
      </c>
      <c r="J122" s="4" t="s">
        <v>55</v>
      </c>
      <c r="K122" s="4" t="s">
        <v>235</v>
      </c>
      <c r="L122" s="4" t="s">
        <v>56</v>
      </c>
      <c r="M122" s="4" t="s">
        <v>802</v>
      </c>
      <c r="N122" s="4" t="s">
        <v>803</v>
      </c>
    </row>
    <row r="123" spans="1:14" s="4" customFormat="1">
      <c r="A123" s="4" t="s">
        <v>1639</v>
      </c>
      <c r="B123" s="4" t="s">
        <v>810</v>
      </c>
      <c r="C123" s="4" t="s">
        <v>811</v>
      </c>
      <c r="D123" s="4" t="s">
        <v>231</v>
      </c>
      <c r="E123" s="4">
        <v>36</v>
      </c>
      <c r="F123" s="4" t="s">
        <v>31</v>
      </c>
      <c r="G123" s="4" t="s">
        <v>16</v>
      </c>
      <c r="H123" s="4" t="s">
        <v>812</v>
      </c>
      <c r="I123" s="4" t="s">
        <v>813</v>
      </c>
      <c r="J123" s="4" t="s">
        <v>31</v>
      </c>
      <c r="K123" s="4" t="s">
        <v>235</v>
      </c>
      <c r="L123" s="4" t="s">
        <v>306</v>
      </c>
      <c r="M123" s="4" t="s">
        <v>814</v>
      </c>
      <c r="N123" s="4" t="s">
        <v>815</v>
      </c>
    </row>
    <row r="124" spans="1:14" s="4" customFormat="1">
      <c r="A124" s="4" t="s">
        <v>1639</v>
      </c>
      <c r="B124" s="4" t="s">
        <v>829</v>
      </c>
      <c r="C124" s="4" t="s">
        <v>830</v>
      </c>
      <c r="D124" s="4" t="s">
        <v>231</v>
      </c>
      <c r="E124" s="4">
        <v>102</v>
      </c>
      <c r="F124" s="4" t="s">
        <v>313</v>
      </c>
      <c r="G124" s="4" t="s">
        <v>16</v>
      </c>
      <c r="H124" s="4" t="s">
        <v>831</v>
      </c>
      <c r="I124" s="4" t="s">
        <v>832</v>
      </c>
      <c r="J124" s="4" t="s">
        <v>313</v>
      </c>
      <c r="K124" s="4" t="s">
        <v>235</v>
      </c>
      <c r="L124" s="4" t="s">
        <v>314</v>
      </c>
    </row>
    <row r="125" spans="1:14" s="4" customFormat="1">
      <c r="A125" s="4" t="s">
        <v>1639</v>
      </c>
      <c r="B125" s="4" t="s">
        <v>833</v>
      </c>
      <c r="C125" s="4" t="s">
        <v>834</v>
      </c>
      <c r="D125" s="4" t="s">
        <v>231</v>
      </c>
      <c r="E125" s="4">
        <v>300</v>
      </c>
      <c r="F125" s="4" t="s">
        <v>55</v>
      </c>
      <c r="G125" s="4" t="s">
        <v>16</v>
      </c>
      <c r="H125" s="4" t="s">
        <v>834</v>
      </c>
      <c r="I125" s="4" t="s">
        <v>835</v>
      </c>
      <c r="J125" s="4" t="s">
        <v>55</v>
      </c>
      <c r="K125" s="4" t="s">
        <v>235</v>
      </c>
      <c r="L125" s="4" t="s">
        <v>56</v>
      </c>
      <c r="M125" s="4" t="s">
        <v>836</v>
      </c>
      <c r="N125" s="4" t="s">
        <v>837</v>
      </c>
    </row>
    <row r="126" spans="1:14" s="4" customFormat="1">
      <c r="A126" s="4" t="s">
        <v>1639</v>
      </c>
      <c r="B126" s="4" t="s">
        <v>844</v>
      </c>
      <c r="C126" s="4" t="s">
        <v>845</v>
      </c>
      <c r="D126" s="4" t="s">
        <v>231</v>
      </c>
      <c r="E126" s="4">
        <v>210</v>
      </c>
      <c r="F126" s="4" t="s">
        <v>79</v>
      </c>
      <c r="G126" s="4" t="s">
        <v>16</v>
      </c>
      <c r="H126" s="4" t="s">
        <v>846</v>
      </c>
      <c r="I126" s="4" t="s">
        <v>847</v>
      </c>
      <c r="J126" s="4" t="s">
        <v>23</v>
      </c>
      <c r="K126" s="4" t="s">
        <v>235</v>
      </c>
      <c r="L126" s="4" t="s">
        <v>24</v>
      </c>
      <c r="M126" s="4" t="s">
        <v>848</v>
      </c>
    </row>
    <row r="127" spans="1:14" s="4" customFormat="1">
      <c r="A127" s="4" t="s">
        <v>1639</v>
      </c>
      <c r="B127" s="4" t="s">
        <v>849</v>
      </c>
      <c r="C127" s="4" t="s">
        <v>850</v>
      </c>
      <c r="D127" s="4" t="s">
        <v>231</v>
      </c>
      <c r="E127" s="4">
        <v>60</v>
      </c>
      <c r="F127" s="4" t="s">
        <v>605</v>
      </c>
      <c r="G127" s="4" t="s">
        <v>16</v>
      </c>
      <c r="H127" s="4" t="s">
        <v>851</v>
      </c>
      <c r="I127" s="4" t="s">
        <v>852</v>
      </c>
      <c r="J127" s="4" t="s">
        <v>605</v>
      </c>
      <c r="K127" s="4" t="s">
        <v>235</v>
      </c>
      <c r="L127" s="4" t="s">
        <v>608</v>
      </c>
      <c r="M127" s="4" t="s">
        <v>853</v>
      </c>
      <c r="N127" s="4" t="s">
        <v>854</v>
      </c>
    </row>
    <row r="128" spans="1:14" s="4" customFormat="1">
      <c r="A128" s="4" t="s">
        <v>1639</v>
      </c>
      <c r="B128" s="4" t="s">
        <v>867</v>
      </c>
      <c r="C128" s="4" t="s">
        <v>868</v>
      </c>
      <c r="D128" s="4" t="s">
        <v>231</v>
      </c>
      <c r="E128" s="4">
        <v>350</v>
      </c>
      <c r="F128" s="4" t="s">
        <v>47</v>
      </c>
      <c r="G128" s="4" t="s">
        <v>16</v>
      </c>
      <c r="H128" s="4" t="s">
        <v>869</v>
      </c>
      <c r="I128" s="4" t="s">
        <v>870</v>
      </c>
      <c r="J128" s="4" t="s">
        <v>47</v>
      </c>
      <c r="K128" s="4" t="s">
        <v>235</v>
      </c>
      <c r="L128" s="4" t="s">
        <v>48</v>
      </c>
      <c r="M128" s="4" t="s">
        <v>871</v>
      </c>
      <c r="N128" s="4" t="s">
        <v>872</v>
      </c>
    </row>
    <row r="129" spans="1:14" s="4" customFormat="1">
      <c r="A129" s="4" t="s">
        <v>1639</v>
      </c>
      <c r="B129" s="4" t="s">
        <v>878</v>
      </c>
      <c r="C129" s="4" t="s">
        <v>879</v>
      </c>
      <c r="D129" s="4" t="s">
        <v>231</v>
      </c>
      <c r="E129" s="4">
        <v>25</v>
      </c>
      <c r="F129" s="4" t="s">
        <v>23</v>
      </c>
      <c r="G129" s="4" t="s">
        <v>16</v>
      </c>
      <c r="H129" s="4" t="s">
        <v>880</v>
      </c>
      <c r="I129" s="4" t="s">
        <v>881</v>
      </c>
      <c r="J129" s="4" t="s">
        <v>23</v>
      </c>
      <c r="K129" s="4" t="s">
        <v>235</v>
      </c>
      <c r="L129" s="4" t="s">
        <v>80</v>
      </c>
      <c r="M129" s="4" t="s">
        <v>882</v>
      </c>
      <c r="N129" s="4" t="s">
        <v>883</v>
      </c>
    </row>
    <row r="130" spans="1:14" s="4" customFormat="1">
      <c r="A130" s="4" t="s">
        <v>1639</v>
      </c>
      <c r="B130" s="4" t="s">
        <v>884</v>
      </c>
      <c r="C130" s="4" t="s">
        <v>885</v>
      </c>
      <c r="D130" s="4" t="s">
        <v>231</v>
      </c>
      <c r="E130" s="4">
        <v>45</v>
      </c>
      <c r="F130" s="4" t="s">
        <v>332</v>
      </c>
      <c r="G130" s="4" t="s">
        <v>16</v>
      </c>
      <c r="H130" s="4" t="s">
        <v>886</v>
      </c>
      <c r="I130" s="4" t="s">
        <v>887</v>
      </c>
      <c r="J130" s="4" t="s">
        <v>55</v>
      </c>
      <c r="K130" s="4" t="s">
        <v>235</v>
      </c>
      <c r="L130" s="4" t="s">
        <v>888</v>
      </c>
      <c r="M130" s="4" t="s">
        <v>889</v>
      </c>
    </row>
    <row r="131" spans="1:14" s="4" customFormat="1">
      <c r="A131" s="4" t="s">
        <v>1639</v>
      </c>
      <c r="B131" s="4" t="s">
        <v>890</v>
      </c>
      <c r="C131" s="4" t="s">
        <v>891</v>
      </c>
      <c r="D131" s="4" t="s">
        <v>231</v>
      </c>
      <c r="E131" s="4">
        <v>45</v>
      </c>
      <c r="F131" s="4" t="s">
        <v>39</v>
      </c>
      <c r="G131" s="4" t="s">
        <v>16</v>
      </c>
      <c r="H131" s="4" t="s">
        <v>886</v>
      </c>
      <c r="I131" s="4" t="s">
        <v>887</v>
      </c>
      <c r="J131" s="4" t="s">
        <v>55</v>
      </c>
      <c r="K131" s="4" t="s">
        <v>235</v>
      </c>
      <c r="L131" s="4" t="s">
        <v>888</v>
      </c>
      <c r="M131" s="4" t="s">
        <v>889</v>
      </c>
    </row>
    <row r="132" spans="1:14" s="4" customFormat="1">
      <c r="A132" s="4" t="s">
        <v>1639</v>
      </c>
      <c r="B132" s="4" t="s">
        <v>911</v>
      </c>
      <c r="C132" s="4" t="s">
        <v>912</v>
      </c>
      <c r="D132" s="4" t="s">
        <v>231</v>
      </c>
      <c r="E132" s="4">
        <v>50</v>
      </c>
      <c r="F132" s="4" t="s">
        <v>913</v>
      </c>
      <c r="G132" s="4" t="s">
        <v>16</v>
      </c>
      <c r="H132" s="4" t="s">
        <v>914</v>
      </c>
      <c r="I132" s="4" t="s">
        <v>915</v>
      </c>
      <c r="J132" s="4" t="s">
        <v>916</v>
      </c>
      <c r="K132" s="4" t="s">
        <v>235</v>
      </c>
      <c r="L132" s="4" t="s">
        <v>306</v>
      </c>
      <c r="M132" s="4" t="s">
        <v>917</v>
      </c>
    </row>
    <row r="133" spans="1:14" s="4" customFormat="1">
      <c r="A133" s="4" t="s">
        <v>1639</v>
      </c>
      <c r="B133" s="4" t="s">
        <v>930</v>
      </c>
      <c r="C133" s="4" t="s">
        <v>931</v>
      </c>
      <c r="D133" s="4" t="s">
        <v>231</v>
      </c>
      <c r="E133" s="4">
        <v>27</v>
      </c>
      <c r="F133" s="4" t="s">
        <v>71</v>
      </c>
      <c r="G133" s="4" t="s">
        <v>16</v>
      </c>
      <c r="H133" s="4" t="s">
        <v>932</v>
      </c>
      <c r="I133" s="4" t="s">
        <v>933</v>
      </c>
      <c r="J133" s="4" t="s">
        <v>71</v>
      </c>
      <c r="K133" s="4" t="s">
        <v>235</v>
      </c>
      <c r="L133" s="4" t="s">
        <v>934</v>
      </c>
      <c r="M133" s="4" t="s">
        <v>935</v>
      </c>
      <c r="N133" s="4" t="s">
        <v>936</v>
      </c>
    </row>
    <row r="134" spans="1:14" s="4" customFormat="1">
      <c r="A134" s="4" t="s">
        <v>1639</v>
      </c>
      <c r="B134" s="4" t="s">
        <v>942</v>
      </c>
      <c r="C134" s="4" t="s">
        <v>943</v>
      </c>
      <c r="D134" s="4" t="s">
        <v>231</v>
      </c>
      <c r="E134" s="4">
        <v>141</v>
      </c>
      <c r="F134" s="4" t="s">
        <v>232</v>
      </c>
      <c r="G134" s="4" t="s">
        <v>16</v>
      </c>
      <c r="H134" s="4" t="s">
        <v>944</v>
      </c>
      <c r="I134" s="4" t="s">
        <v>945</v>
      </c>
      <c r="J134" s="4" t="s">
        <v>946</v>
      </c>
      <c r="K134" s="4" t="s">
        <v>235</v>
      </c>
      <c r="L134" s="4" t="s">
        <v>236</v>
      </c>
      <c r="M134" s="4" t="s">
        <v>947</v>
      </c>
    </row>
    <row r="135" spans="1:14" s="4" customFormat="1">
      <c r="A135" s="4" t="s">
        <v>1639</v>
      </c>
      <c r="B135" s="4" t="s">
        <v>962</v>
      </c>
      <c r="C135" s="4" t="s">
        <v>963</v>
      </c>
      <c r="D135" s="4" t="s">
        <v>231</v>
      </c>
      <c r="E135" s="4">
        <v>25</v>
      </c>
      <c r="F135" s="4" t="s">
        <v>403</v>
      </c>
      <c r="G135" s="4" t="s">
        <v>16</v>
      </c>
      <c r="H135" s="4" t="s">
        <v>964</v>
      </c>
      <c r="I135" s="4" t="s">
        <v>965</v>
      </c>
      <c r="J135" s="4" t="s">
        <v>406</v>
      </c>
      <c r="K135" s="4" t="s">
        <v>235</v>
      </c>
      <c r="L135" s="4" t="s">
        <v>407</v>
      </c>
      <c r="M135" s="4" t="s">
        <v>966</v>
      </c>
      <c r="N135" s="4" t="s">
        <v>967</v>
      </c>
    </row>
    <row r="136" spans="1:14" s="4" customFormat="1">
      <c r="A136" s="4" t="s">
        <v>1639</v>
      </c>
      <c r="B136" s="4" t="s">
        <v>968</v>
      </c>
      <c r="C136" s="4" t="s">
        <v>969</v>
      </c>
      <c r="D136" s="4" t="s">
        <v>231</v>
      </c>
      <c r="E136" s="4">
        <v>25</v>
      </c>
      <c r="F136" s="4" t="s">
        <v>744</v>
      </c>
      <c r="G136" s="4" t="s">
        <v>16</v>
      </c>
      <c r="H136" s="4" t="s">
        <v>970</v>
      </c>
      <c r="I136" s="4" t="s">
        <v>971</v>
      </c>
      <c r="J136" s="4" t="s">
        <v>972</v>
      </c>
      <c r="K136" s="4" t="s">
        <v>235</v>
      </c>
      <c r="L136" s="4" t="s">
        <v>973</v>
      </c>
      <c r="M136" s="4" t="s">
        <v>974</v>
      </c>
      <c r="N136" s="4" t="s">
        <v>975</v>
      </c>
    </row>
    <row r="137" spans="1:14" s="4" customFormat="1">
      <c r="A137" s="4" t="s">
        <v>1639</v>
      </c>
      <c r="B137" s="4" t="s">
        <v>976</v>
      </c>
      <c r="C137" s="4" t="s">
        <v>977</v>
      </c>
      <c r="D137" s="4" t="s">
        <v>231</v>
      </c>
      <c r="E137" s="4">
        <v>110</v>
      </c>
      <c r="F137" s="4" t="s">
        <v>79</v>
      </c>
      <c r="G137" s="4" t="s">
        <v>16</v>
      </c>
      <c r="H137" s="4" t="s">
        <v>978</v>
      </c>
      <c r="I137" s="4" t="s">
        <v>979</v>
      </c>
      <c r="J137" s="4" t="s">
        <v>79</v>
      </c>
      <c r="K137" s="4" t="s">
        <v>235</v>
      </c>
      <c r="L137" s="4" t="s">
        <v>80</v>
      </c>
      <c r="M137" s="4" t="s">
        <v>980</v>
      </c>
      <c r="N137" s="4" t="s">
        <v>981</v>
      </c>
    </row>
    <row r="138" spans="1:14" s="4" customFormat="1">
      <c r="A138" s="4" t="s">
        <v>1639</v>
      </c>
      <c r="B138" s="4" t="s">
        <v>991</v>
      </c>
      <c r="C138" s="4" t="s">
        <v>992</v>
      </c>
      <c r="D138" s="4" t="s">
        <v>231</v>
      </c>
      <c r="E138" s="4">
        <v>25</v>
      </c>
      <c r="F138" s="4" t="s">
        <v>993</v>
      </c>
      <c r="G138" s="4" t="s">
        <v>16</v>
      </c>
      <c r="H138" s="4" t="s">
        <v>994</v>
      </c>
      <c r="I138" s="4" t="s">
        <v>995</v>
      </c>
      <c r="J138" s="4" t="s">
        <v>709</v>
      </c>
      <c r="K138" s="4" t="s">
        <v>235</v>
      </c>
      <c r="L138" s="4" t="s">
        <v>710</v>
      </c>
      <c r="M138" s="4" t="s">
        <v>996</v>
      </c>
      <c r="N138" s="4" t="s">
        <v>997</v>
      </c>
    </row>
    <row r="139" spans="1:14" s="4" customFormat="1">
      <c r="A139" s="4" t="s">
        <v>1639</v>
      </c>
      <c r="B139" s="4" t="s">
        <v>998</v>
      </c>
      <c r="C139" s="4" t="s">
        <v>999</v>
      </c>
      <c r="D139" s="4" t="s">
        <v>231</v>
      </c>
      <c r="E139" s="4">
        <v>25</v>
      </c>
      <c r="F139" s="4" t="s">
        <v>1000</v>
      </c>
      <c r="G139" s="4" t="s">
        <v>16</v>
      </c>
      <c r="H139" s="4" t="s">
        <v>994</v>
      </c>
      <c r="I139" s="4" t="s">
        <v>995</v>
      </c>
      <c r="J139" s="4" t="s">
        <v>709</v>
      </c>
      <c r="K139" s="4" t="s">
        <v>235</v>
      </c>
      <c r="L139" s="4" t="s">
        <v>710</v>
      </c>
      <c r="M139" s="4" t="s">
        <v>996</v>
      </c>
      <c r="N139" s="4" t="s">
        <v>997</v>
      </c>
    </row>
    <row r="140" spans="1:14" s="4" customFormat="1">
      <c r="A140" s="4" t="s">
        <v>1639</v>
      </c>
      <c r="B140" s="4" t="s">
        <v>1001</v>
      </c>
      <c r="C140" s="4" t="s">
        <v>1002</v>
      </c>
      <c r="D140" s="4" t="s">
        <v>231</v>
      </c>
      <c r="E140" s="4">
        <v>25</v>
      </c>
      <c r="F140" s="4" t="s">
        <v>531</v>
      </c>
      <c r="G140" s="4" t="s">
        <v>16</v>
      </c>
      <c r="H140" s="4" t="s">
        <v>1003</v>
      </c>
      <c r="I140" s="4" t="s">
        <v>1004</v>
      </c>
      <c r="J140" s="4" t="s">
        <v>71</v>
      </c>
      <c r="K140" s="4" t="s">
        <v>235</v>
      </c>
      <c r="L140" s="4" t="s">
        <v>72</v>
      </c>
      <c r="M140" s="4" t="s">
        <v>1005</v>
      </c>
      <c r="N140" s="4" t="s">
        <v>1006</v>
      </c>
    </row>
    <row r="141" spans="1:14" s="4" customFormat="1">
      <c r="A141" s="4" t="s">
        <v>1639</v>
      </c>
      <c r="B141" s="4" t="s">
        <v>1007</v>
      </c>
      <c r="C141" s="4" t="s">
        <v>1008</v>
      </c>
      <c r="D141" s="4" t="s">
        <v>231</v>
      </c>
      <c r="E141" s="4">
        <v>25</v>
      </c>
      <c r="F141" s="4" t="s">
        <v>79</v>
      </c>
      <c r="G141" s="4" t="s">
        <v>16</v>
      </c>
      <c r="H141" s="4" t="s">
        <v>1003</v>
      </c>
      <c r="I141" s="4" t="s">
        <v>1004</v>
      </c>
      <c r="J141" s="4" t="s">
        <v>71</v>
      </c>
      <c r="K141" s="4" t="s">
        <v>235</v>
      </c>
      <c r="L141" s="4" t="s">
        <v>72</v>
      </c>
      <c r="M141" s="4" t="s">
        <v>1005</v>
      </c>
      <c r="N141" s="4" t="s">
        <v>1006</v>
      </c>
    </row>
    <row r="142" spans="1:14" s="4" customFormat="1">
      <c r="A142" s="4" t="s">
        <v>1639</v>
      </c>
      <c r="B142" s="4" t="s">
        <v>1009</v>
      </c>
      <c r="C142" s="4" t="s">
        <v>1010</v>
      </c>
      <c r="D142" s="4" t="s">
        <v>231</v>
      </c>
      <c r="E142" s="4">
        <v>25</v>
      </c>
      <c r="F142" s="4" t="s">
        <v>1011</v>
      </c>
      <c r="G142" s="4" t="s">
        <v>16</v>
      </c>
      <c r="H142" s="4" t="s">
        <v>1012</v>
      </c>
      <c r="I142" s="4" t="s">
        <v>1004</v>
      </c>
      <c r="J142" s="4" t="s">
        <v>71</v>
      </c>
      <c r="K142" s="4" t="s">
        <v>235</v>
      </c>
      <c r="L142" s="4" t="s">
        <v>72</v>
      </c>
      <c r="M142" s="4" t="s">
        <v>1005</v>
      </c>
      <c r="N142" s="4" t="s">
        <v>1006</v>
      </c>
    </row>
    <row r="143" spans="1:14" s="4" customFormat="1">
      <c r="A143" s="4" t="s">
        <v>1639</v>
      </c>
      <c r="B143" s="4" t="s">
        <v>1013</v>
      </c>
      <c r="C143" s="4" t="s">
        <v>1014</v>
      </c>
      <c r="D143" s="4" t="s">
        <v>231</v>
      </c>
      <c r="E143" s="4">
        <v>150</v>
      </c>
      <c r="F143" s="4" t="s">
        <v>313</v>
      </c>
      <c r="G143" s="4" t="s">
        <v>16</v>
      </c>
      <c r="H143" s="4" t="s">
        <v>1015</v>
      </c>
      <c r="I143" s="4" t="s">
        <v>1016</v>
      </c>
      <c r="J143" s="4" t="s">
        <v>313</v>
      </c>
      <c r="K143" s="4" t="s">
        <v>235</v>
      </c>
      <c r="L143" s="4" t="s">
        <v>314</v>
      </c>
      <c r="M143" s="4" t="s">
        <v>1017</v>
      </c>
    </row>
    <row r="144" spans="1:14" s="4" customFormat="1">
      <c r="A144" s="4" t="s">
        <v>1639</v>
      </c>
      <c r="B144" s="4" t="s">
        <v>1018</v>
      </c>
      <c r="C144" s="4" t="s">
        <v>1019</v>
      </c>
      <c r="D144" s="4" t="s">
        <v>231</v>
      </c>
      <c r="E144" s="4">
        <v>70</v>
      </c>
      <c r="F144" s="4" t="s">
        <v>313</v>
      </c>
      <c r="G144" s="4" t="s">
        <v>16</v>
      </c>
      <c r="H144" s="4" t="s">
        <v>1020</v>
      </c>
      <c r="I144" s="4" t="s">
        <v>1021</v>
      </c>
      <c r="J144" s="4" t="s">
        <v>313</v>
      </c>
      <c r="K144" s="4" t="s">
        <v>235</v>
      </c>
      <c r="L144" s="4" t="s">
        <v>314</v>
      </c>
      <c r="M144" s="4" t="s">
        <v>1022</v>
      </c>
      <c r="N144" s="4" t="s">
        <v>1023</v>
      </c>
    </row>
    <row r="145" spans="1:14" s="4" customFormat="1">
      <c r="A145" s="4" t="s">
        <v>1639</v>
      </c>
      <c r="B145" s="4" t="s">
        <v>1044</v>
      </c>
      <c r="C145" s="4" t="s">
        <v>1045</v>
      </c>
      <c r="D145" s="4" t="s">
        <v>231</v>
      </c>
      <c r="E145" s="4">
        <v>220</v>
      </c>
      <c r="F145" s="4" t="s">
        <v>319</v>
      </c>
      <c r="G145" s="4" t="s">
        <v>16</v>
      </c>
      <c r="H145" s="4" t="s">
        <v>1046</v>
      </c>
      <c r="I145" s="4" t="s">
        <v>1047</v>
      </c>
      <c r="J145" s="4" t="s">
        <v>1048</v>
      </c>
      <c r="K145" s="4" t="s">
        <v>235</v>
      </c>
      <c r="L145" s="4" t="s">
        <v>72</v>
      </c>
      <c r="M145" s="4" t="s">
        <v>1049</v>
      </c>
      <c r="N145" s="4" t="s">
        <v>1050</v>
      </c>
    </row>
    <row r="146" spans="1:14" s="4" customFormat="1">
      <c r="E146" s="4">
        <f>COUNT(E2:E47)</f>
        <v>46</v>
      </c>
    </row>
    <row r="147" spans="1:14">
      <c r="A147" s="3" t="s">
        <v>1639</v>
      </c>
      <c r="B147" t="s">
        <v>1057</v>
      </c>
      <c r="C147" t="s">
        <v>1058</v>
      </c>
      <c r="D147" t="s">
        <v>241</v>
      </c>
      <c r="E147">
        <v>163</v>
      </c>
      <c r="F147" t="s">
        <v>1059</v>
      </c>
      <c r="G147" t="s">
        <v>161</v>
      </c>
      <c r="H147" t="s">
        <v>1060</v>
      </c>
      <c r="I147" t="s">
        <v>1061</v>
      </c>
      <c r="J147" t="s">
        <v>1059</v>
      </c>
      <c r="K147" t="s">
        <v>235</v>
      </c>
      <c r="L147" t="s">
        <v>1062</v>
      </c>
      <c r="M147" t="s">
        <v>1063</v>
      </c>
    </row>
    <row r="148" spans="1:14">
      <c r="A148" s="3" t="s">
        <v>1639</v>
      </c>
      <c r="B148" t="s">
        <v>1064</v>
      </c>
      <c r="C148" t="s">
        <v>1065</v>
      </c>
      <c r="D148" t="s">
        <v>241</v>
      </c>
      <c r="E148">
        <v>68</v>
      </c>
      <c r="F148" t="s">
        <v>1066</v>
      </c>
      <c r="G148" t="s">
        <v>161</v>
      </c>
      <c r="H148" t="s">
        <v>1067</v>
      </c>
      <c r="I148" t="s">
        <v>1068</v>
      </c>
      <c r="J148" t="s">
        <v>1069</v>
      </c>
      <c r="K148" t="s">
        <v>235</v>
      </c>
      <c r="L148" t="s">
        <v>1070</v>
      </c>
      <c r="M148" t="s">
        <v>1071</v>
      </c>
      <c r="N148" t="s">
        <v>1072</v>
      </c>
    </row>
    <row r="149" spans="1:14">
      <c r="A149" s="3" t="s">
        <v>1640</v>
      </c>
      <c r="B149" t="s">
        <v>1113</v>
      </c>
      <c r="C149" t="s">
        <v>1114</v>
      </c>
      <c r="D149" t="s">
        <v>241</v>
      </c>
      <c r="E149">
        <v>1880</v>
      </c>
      <c r="F149" t="s">
        <v>160</v>
      </c>
      <c r="G149" t="s">
        <v>161</v>
      </c>
      <c r="H149" t="s">
        <v>1115</v>
      </c>
      <c r="I149" t="s">
        <v>1116</v>
      </c>
      <c r="J149" t="s">
        <v>160</v>
      </c>
      <c r="K149" t="s">
        <v>235</v>
      </c>
      <c r="L149" t="s">
        <v>162</v>
      </c>
      <c r="M149" t="s">
        <v>1117</v>
      </c>
      <c r="N149" t="s">
        <v>1118</v>
      </c>
    </row>
    <row r="150" spans="1:14">
      <c r="A150" s="3" t="s">
        <v>1639</v>
      </c>
      <c r="B150" t="s">
        <v>1135</v>
      </c>
      <c r="C150" t="s">
        <v>1136</v>
      </c>
      <c r="D150" t="s">
        <v>241</v>
      </c>
      <c r="E150">
        <v>50</v>
      </c>
      <c r="F150" t="s">
        <v>184</v>
      </c>
      <c r="G150" t="s">
        <v>161</v>
      </c>
      <c r="H150" t="s">
        <v>1137</v>
      </c>
      <c r="I150" t="s">
        <v>1138</v>
      </c>
      <c r="J150" t="s">
        <v>184</v>
      </c>
      <c r="K150" t="s">
        <v>235</v>
      </c>
      <c r="L150" t="s">
        <v>185</v>
      </c>
      <c r="M150" t="s">
        <v>1139</v>
      </c>
    </row>
    <row r="151" spans="1:14">
      <c r="A151" s="3" t="s">
        <v>1639</v>
      </c>
      <c r="B151" t="s">
        <v>1148</v>
      </c>
      <c r="C151" t="s">
        <v>1149</v>
      </c>
      <c r="D151" t="s">
        <v>241</v>
      </c>
      <c r="E151">
        <v>3075</v>
      </c>
      <c r="F151" t="s">
        <v>1078</v>
      </c>
      <c r="G151" t="s">
        <v>161</v>
      </c>
      <c r="H151" t="s">
        <v>1150</v>
      </c>
      <c r="I151" t="s">
        <v>1151</v>
      </c>
      <c r="J151" t="s">
        <v>1078</v>
      </c>
      <c r="K151" t="s">
        <v>235</v>
      </c>
      <c r="L151" t="s">
        <v>1079</v>
      </c>
      <c r="M151" t="s">
        <v>1152</v>
      </c>
    </row>
    <row r="152" spans="1:14">
      <c r="A152" s="3" t="s">
        <v>1639</v>
      </c>
      <c r="B152" t="s">
        <v>1206</v>
      </c>
      <c r="C152" t="s">
        <v>1207</v>
      </c>
      <c r="D152" t="s">
        <v>241</v>
      </c>
      <c r="E152">
        <v>40</v>
      </c>
      <c r="F152" t="s">
        <v>1085</v>
      </c>
      <c r="G152" t="s">
        <v>161</v>
      </c>
      <c r="H152" t="s">
        <v>1208</v>
      </c>
      <c r="I152" t="s">
        <v>1209</v>
      </c>
      <c r="J152" t="s">
        <v>1210</v>
      </c>
      <c r="K152" t="s">
        <v>235</v>
      </c>
      <c r="L152" t="s">
        <v>1211</v>
      </c>
      <c r="M152" t="s">
        <v>1212</v>
      </c>
      <c r="N152" t="s">
        <v>1213</v>
      </c>
    </row>
    <row r="153" spans="1:14">
      <c r="A153" s="3" t="s">
        <v>1639</v>
      </c>
      <c r="B153" t="s">
        <v>1214</v>
      </c>
      <c r="C153" t="s">
        <v>1215</v>
      </c>
      <c r="D153" t="s">
        <v>241</v>
      </c>
      <c r="E153">
        <v>418</v>
      </c>
      <c r="F153" t="s">
        <v>169</v>
      </c>
      <c r="G153" t="s">
        <v>161</v>
      </c>
      <c r="H153" t="s">
        <v>1216</v>
      </c>
      <c r="I153" t="s">
        <v>1217</v>
      </c>
      <c r="J153" t="s">
        <v>169</v>
      </c>
      <c r="K153" t="s">
        <v>235</v>
      </c>
      <c r="L153" t="s">
        <v>608</v>
      </c>
      <c r="M153" t="s">
        <v>1218</v>
      </c>
      <c r="N153" t="s">
        <v>1219</v>
      </c>
    </row>
    <row r="154" spans="1:14">
      <c r="A154" s="3" t="s">
        <v>1639</v>
      </c>
      <c r="B154" t="s">
        <v>1220</v>
      </c>
      <c r="C154" t="s">
        <v>1221</v>
      </c>
      <c r="D154" t="s">
        <v>241</v>
      </c>
      <c r="E154">
        <v>34</v>
      </c>
      <c r="F154" t="s">
        <v>1222</v>
      </c>
      <c r="G154" t="s">
        <v>161</v>
      </c>
      <c r="H154" t="s">
        <v>1223</v>
      </c>
      <c r="I154" t="s">
        <v>1173</v>
      </c>
      <c r="J154" t="s">
        <v>192</v>
      </c>
      <c r="K154" t="s">
        <v>235</v>
      </c>
      <c r="L154" t="s">
        <v>193</v>
      </c>
      <c r="M154" t="s">
        <v>1174</v>
      </c>
    </row>
    <row r="155" spans="1:14">
      <c r="A155" s="3" t="s">
        <v>1639</v>
      </c>
      <c r="B155" t="s">
        <v>1230</v>
      </c>
      <c r="C155" t="s">
        <v>1231</v>
      </c>
      <c r="D155" t="s">
        <v>241</v>
      </c>
      <c r="E155">
        <v>176</v>
      </c>
      <c r="F155" t="s">
        <v>1232</v>
      </c>
      <c r="G155" t="s">
        <v>161</v>
      </c>
      <c r="H155" t="s">
        <v>1233</v>
      </c>
      <c r="I155" t="s">
        <v>1234</v>
      </c>
      <c r="J155" t="s">
        <v>1232</v>
      </c>
      <c r="K155" t="s">
        <v>235</v>
      </c>
      <c r="L155" t="s">
        <v>1235</v>
      </c>
      <c r="M155" t="s">
        <v>1236</v>
      </c>
      <c r="N155" t="s">
        <v>1237</v>
      </c>
    </row>
    <row r="156" spans="1:14">
      <c r="A156" s="3" t="s">
        <v>1639</v>
      </c>
      <c r="B156" t="s">
        <v>1274</v>
      </c>
      <c r="C156" t="s">
        <v>1275</v>
      </c>
      <c r="D156" t="s">
        <v>241</v>
      </c>
      <c r="E156">
        <v>75</v>
      </c>
      <c r="F156" t="s">
        <v>1109</v>
      </c>
      <c r="G156" t="s">
        <v>161</v>
      </c>
      <c r="H156" t="s">
        <v>1276</v>
      </c>
      <c r="I156" t="s">
        <v>1277</v>
      </c>
      <c r="J156" t="s">
        <v>1182</v>
      </c>
      <c r="K156" t="s">
        <v>235</v>
      </c>
      <c r="L156" t="s">
        <v>1145</v>
      </c>
      <c r="M156" t="s">
        <v>1278</v>
      </c>
      <c r="N156" t="s">
        <v>1279</v>
      </c>
    </row>
    <row r="157" spans="1:14">
      <c r="A157" s="3" t="s">
        <v>1639</v>
      </c>
      <c r="B157" t="s">
        <v>1293</v>
      </c>
      <c r="C157" t="s">
        <v>1294</v>
      </c>
      <c r="D157" t="s">
        <v>241</v>
      </c>
      <c r="E157">
        <v>48</v>
      </c>
      <c r="F157" t="s">
        <v>1103</v>
      </c>
      <c r="G157" t="s">
        <v>161</v>
      </c>
      <c r="H157" t="s">
        <v>1295</v>
      </c>
      <c r="I157" t="s">
        <v>1296</v>
      </c>
      <c r="J157" t="s">
        <v>1124</v>
      </c>
      <c r="K157" t="s">
        <v>235</v>
      </c>
      <c r="L157" t="s">
        <v>1297</v>
      </c>
      <c r="M157" t="s">
        <v>1298</v>
      </c>
    </row>
    <row r="158" spans="1:14">
      <c r="A158" s="3" t="s">
        <v>1639</v>
      </c>
      <c r="B158" t="s">
        <v>1327</v>
      </c>
      <c r="C158" t="s">
        <v>1328</v>
      </c>
      <c r="D158" t="s">
        <v>241</v>
      </c>
      <c r="E158">
        <v>670</v>
      </c>
      <c r="F158" t="s">
        <v>1329</v>
      </c>
      <c r="G158" t="s">
        <v>161</v>
      </c>
      <c r="H158" t="s">
        <v>1330</v>
      </c>
      <c r="I158" t="s">
        <v>183</v>
      </c>
      <c r="J158" t="s">
        <v>184</v>
      </c>
      <c r="K158" t="s">
        <v>235</v>
      </c>
      <c r="L158" t="s">
        <v>185</v>
      </c>
      <c r="M158" t="s">
        <v>1331</v>
      </c>
    </row>
    <row r="159" spans="1:14">
      <c r="A159" s="3" t="s">
        <v>1640</v>
      </c>
      <c r="B159" t="s">
        <v>1357</v>
      </c>
      <c r="C159" t="s">
        <v>1358</v>
      </c>
      <c r="D159" t="s">
        <v>241</v>
      </c>
      <c r="E159">
        <v>1750</v>
      </c>
      <c r="F159" t="s">
        <v>1359</v>
      </c>
      <c r="G159" t="s">
        <v>161</v>
      </c>
      <c r="H159" t="s">
        <v>1360</v>
      </c>
      <c r="I159" t="s">
        <v>1361</v>
      </c>
      <c r="J159" t="s">
        <v>1359</v>
      </c>
      <c r="K159" t="s">
        <v>235</v>
      </c>
      <c r="L159" t="s">
        <v>1201</v>
      </c>
      <c r="M159" t="s">
        <v>1362</v>
      </c>
      <c r="N159" t="s">
        <v>1363</v>
      </c>
    </row>
    <row r="160" spans="1:14">
      <c r="A160" s="3" t="s">
        <v>1639</v>
      </c>
      <c r="B160" t="s">
        <v>1370</v>
      </c>
      <c r="C160" t="s">
        <v>1371</v>
      </c>
      <c r="D160" t="s">
        <v>241</v>
      </c>
      <c r="E160">
        <v>65</v>
      </c>
      <c r="F160" t="s">
        <v>192</v>
      </c>
      <c r="G160" t="s">
        <v>161</v>
      </c>
      <c r="H160" t="s">
        <v>1372</v>
      </c>
      <c r="I160" t="s">
        <v>1373</v>
      </c>
      <c r="J160" t="s">
        <v>1103</v>
      </c>
      <c r="K160" t="s">
        <v>235</v>
      </c>
      <c r="L160" t="s">
        <v>1106</v>
      </c>
      <c r="M160" t="s">
        <v>1374</v>
      </c>
    </row>
    <row r="161" spans="1:14">
      <c r="A161" s="3" t="s">
        <v>1639</v>
      </c>
      <c r="B161" t="s">
        <v>1375</v>
      </c>
      <c r="C161" t="s">
        <v>1376</v>
      </c>
      <c r="D161" t="s">
        <v>241</v>
      </c>
      <c r="E161">
        <v>1350</v>
      </c>
      <c r="F161" t="s">
        <v>192</v>
      </c>
      <c r="G161" t="s">
        <v>161</v>
      </c>
      <c r="H161" t="s">
        <v>1377</v>
      </c>
      <c r="I161" t="s">
        <v>1378</v>
      </c>
      <c r="J161" t="s">
        <v>192</v>
      </c>
      <c r="K161" t="s">
        <v>235</v>
      </c>
      <c r="L161" t="s">
        <v>193</v>
      </c>
      <c r="M161" t="s">
        <v>1379</v>
      </c>
    </row>
    <row r="162" spans="1:14">
      <c r="A162" s="3" t="s">
        <v>1640</v>
      </c>
      <c r="B162" t="s">
        <v>1404</v>
      </c>
      <c r="C162" t="s">
        <v>1405</v>
      </c>
      <c r="D162" t="s">
        <v>241</v>
      </c>
      <c r="E162">
        <v>413</v>
      </c>
      <c r="F162" t="s">
        <v>200</v>
      </c>
      <c r="G162" t="s">
        <v>161</v>
      </c>
      <c r="H162" t="s">
        <v>1406</v>
      </c>
      <c r="I162" t="s">
        <v>1407</v>
      </c>
      <c r="J162" t="s">
        <v>200</v>
      </c>
      <c r="K162" t="s">
        <v>235</v>
      </c>
      <c r="L162" t="s">
        <v>201</v>
      </c>
      <c r="M162" t="s">
        <v>1408</v>
      </c>
    </row>
    <row r="163" spans="1:14">
      <c r="A163" s="3" t="s">
        <v>1639</v>
      </c>
      <c r="B163" t="s">
        <v>1457</v>
      </c>
      <c r="C163" t="s">
        <v>1458</v>
      </c>
      <c r="D163" t="s">
        <v>241</v>
      </c>
      <c r="E163">
        <v>97</v>
      </c>
      <c r="F163" t="s">
        <v>1182</v>
      </c>
      <c r="G163" t="s">
        <v>161</v>
      </c>
      <c r="H163" t="s">
        <v>1276</v>
      </c>
      <c r="I163" t="s">
        <v>1277</v>
      </c>
      <c r="J163" t="s">
        <v>1182</v>
      </c>
      <c r="K163" t="s">
        <v>235</v>
      </c>
      <c r="L163" t="s">
        <v>1145</v>
      </c>
      <c r="M163" t="s">
        <v>1278</v>
      </c>
      <c r="N163" t="s">
        <v>1279</v>
      </c>
    </row>
    <row r="164" spans="1:14">
      <c r="A164" s="3" t="s">
        <v>1640</v>
      </c>
      <c r="B164" t="s">
        <v>1470</v>
      </c>
      <c r="C164" t="s">
        <v>211</v>
      </c>
      <c r="D164" t="s">
        <v>241</v>
      </c>
      <c r="E164">
        <v>1900</v>
      </c>
      <c r="F164" t="s">
        <v>176</v>
      </c>
      <c r="G164" t="s">
        <v>161</v>
      </c>
      <c r="H164" t="s">
        <v>1471</v>
      </c>
      <c r="I164" t="s">
        <v>1472</v>
      </c>
      <c r="J164" t="s">
        <v>176</v>
      </c>
      <c r="K164" t="s">
        <v>235</v>
      </c>
      <c r="L164" t="s">
        <v>177</v>
      </c>
      <c r="M164" t="s">
        <v>1473</v>
      </c>
      <c r="N164" t="s">
        <v>1474</v>
      </c>
    </row>
    <row r="165" spans="1:14">
      <c r="A165" s="3" t="s">
        <v>1639</v>
      </c>
      <c r="B165" t="s">
        <v>1482</v>
      </c>
      <c r="C165" t="s">
        <v>1483</v>
      </c>
      <c r="D165" t="s">
        <v>241</v>
      </c>
      <c r="E165">
        <v>105</v>
      </c>
      <c r="F165" t="s">
        <v>1069</v>
      </c>
      <c r="G165" t="s">
        <v>161</v>
      </c>
      <c r="H165" t="s">
        <v>1276</v>
      </c>
      <c r="I165" t="s">
        <v>1277</v>
      </c>
      <c r="J165" t="s">
        <v>1182</v>
      </c>
      <c r="K165" t="s">
        <v>235</v>
      </c>
      <c r="L165" t="s">
        <v>1145</v>
      </c>
      <c r="M165" t="s">
        <v>1278</v>
      </c>
      <c r="N165" t="s">
        <v>1279</v>
      </c>
    </row>
    <row r="166" spans="1:14" s="3" customFormat="1">
      <c r="A166" s="3" t="s">
        <v>1639</v>
      </c>
      <c r="B166" s="3" t="s">
        <v>1484</v>
      </c>
      <c r="C166" s="3" t="s">
        <v>1485</v>
      </c>
      <c r="D166" s="3" t="s">
        <v>241</v>
      </c>
      <c r="E166" s="3">
        <v>38</v>
      </c>
      <c r="F166" s="3" t="s">
        <v>184</v>
      </c>
      <c r="G166" s="3" t="s">
        <v>161</v>
      </c>
      <c r="H166" s="3" t="s">
        <v>1486</v>
      </c>
      <c r="I166" s="3" t="s">
        <v>1487</v>
      </c>
      <c r="J166" s="3" t="s">
        <v>184</v>
      </c>
      <c r="K166" s="3" t="s">
        <v>235</v>
      </c>
      <c r="L166" s="3" t="s">
        <v>185</v>
      </c>
      <c r="M166" s="3" t="s">
        <v>1488</v>
      </c>
      <c r="N166" s="3" t="s">
        <v>1489</v>
      </c>
    </row>
    <row r="167" spans="1:14">
      <c r="A167" s="3" t="s">
        <v>1639</v>
      </c>
      <c r="B167" t="s">
        <v>1490</v>
      </c>
      <c r="C167" t="s">
        <v>1491</v>
      </c>
      <c r="D167" t="s">
        <v>241</v>
      </c>
      <c r="E167">
        <v>358</v>
      </c>
      <c r="F167" t="s">
        <v>1301</v>
      </c>
      <c r="G167" t="s">
        <v>161</v>
      </c>
      <c r="H167" t="s">
        <v>1492</v>
      </c>
      <c r="I167" t="s">
        <v>1493</v>
      </c>
      <c r="J167" t="s">
        <v>1301</v>
      </c>
      <c r="K167" t="s">
        <v>235</v>
      </c>
      <c r="L167" t="s">
        <v>1413</v>
      </c>
      <c r="M167" t="s">
        <v>1494</v>
      </c>
    </row>
    <row r="168" spans="1:14">
      <c r="A168" s="3" t="s">
        <v>1639</v>
      </c>
      <c r="B168" t="s">
        <v>1549</v>
      </c>
      <c r="C168" t="s">
        <v>1550</v>
      </c>
      <c r="D168" t="s">
        <v>241</v>
      </c>
      <c r="E168">
        <v>26</v>
      </c>
      <c r="F168" t="s">
        <v>1109</v>
      </c>
      <c r="G168" t="s">
        <v>161</v>
      </c>
      <c r="H168" t="s">
        <v>1551</v>
      </c>
      <c r="I168" t="s">
        <v>1552</v>
      </c>
      <c r="J168" t="s">
        <v>1109</v>
      </c>
      <c r="K168" t="s">
        <v>235</v>
      </c>
      <c r="L168" t="s">
        <v>1112</v>
      </c>
      <c r="M168" t="s">
        <v>1553</v>
      </c>
      <c r="N168" t="s">
        <v>1554</v>
      </c>
    </row>
    <row r="169" spans="1:14">
      <c r="A169" s="3" t="s">
        <v>1639</v>
      </c>
      <c r="B169" t="s">
        <v>1566</v>
      </c>
      <c r="C169" t="s">
        <v>1567</v>
      </c>
      <c r="D169" t="s">
        <v>241</v>
      </c>
      <c r="E169">
        <v>35</v>
      </c>
      <c r="F169" t="s">
        <v>1109</v>
      </c>
      <c r="G169" t="s">
        <v>161</v>
      </c>
      <c r="H169" t="s">
        <v>1276</v>
      </c>
      <c r="I169" t="s">
        <v>1277</v>
      </c>
      <c r="J169" t="s">
        <v>1182</v>
      </c>
      <c r="K169" t="s">
        <v>235</v>
      </c>
      <c r="L169" t="s">
        <v>1145</v>
      </c>
      <c r="M169" t="s">
        <v>1278</v>
      </c>
      <c r="N169" t="s">
        <v>1279</v>
      </c>
    </row>
    <row r="170" spans="1:14">
      <c r="A170" s="3" t="s">
        <v>1639</v>
      </c>
      <c r="B170" t="s">
        <v>1581</v>
      </c>
      <c r="C170" t="s">
        <v>1582</v>
      </c>
      <c r="D170" t="s">
        <v>241</v>
      </c>
      <c r="E170">
        <v>25</v>
      </c>
      <c r="F170" t="s">
        <v>1109</v>
      </c>
      <c r="G170" t="s">
        <v>161</v>
      </c>
      <c r="H170" t="s">
        <v>1583</v>
      </c>
      <c r="I170" t="s">
        <v>1584</v>
      </c>
      <c r="J170" t="s">
        <v>1585</v>
      </c>
      <c r="K170" t="s">
        <v>235</v>
      </c>
      <c r="L170" t="s">
        <v>1112</v>
      </c>
      <c r="M170" t="s">
        <v>1586</v>
      </c>
    </row>
    <row r="171" spans="1:14">
      <c r="A171" s="3" t="s">
        <v>1639</v>
      </c>
      <c r="B171" t="s">
        <v>1073</v>
      </c>
      <c r="C171" t="s">
        <v>1074</v>
      </c>
      <c r="D171" t="s">
        <v>254</v>
      </c>
      <c r="E171">
        <v>61</v>
      </c>
      <c r="F171" t="s">
        <v>1075</v>
      </c>
      <c r="G171" t="s">
        <v>161</v>
      </c>
      <c r="H171" t="s">
        <v>1076</v>
      </c>
      <c r="I171" t="s">
        <v>1077</v>
      </c>
      <c r="J171" t="s">
        <v>1078</v>
      </c>
      <c r="K171" t="s">
        <v>235</v>
      </c>
      <c r="L171" t="s">
        <v>1079</v>
      </c>
      <c r="M171" t="s">
        <v>1080</v>
      </c>
    </row>
    <row r="172" spans="1:14">
      <c r="A172" s="3" t="s">
        <v>1639</v>
      </c>
      <c r="B172" t="s">
        <v>1081</v>
      </c>
      <c r="C172" t="s">
        <v>1082</v>
      </c>
      <c r="D172" t="s">
        <v>254</v>
      </c>
      <c r="E172">
        <v>400</v>
      </c>
      <c r="F172" t="s">
        <v>1078</v>
      </c>
      <c r="G172" t="s">
        <v>161</v>
      </c>
      <c r="H172" t="s">
        <v>1076</v>
      </c>
      <c r="I172" t="s">
        <v>1077</v>
      </c>
      <c r="J172" t="s">
        <v>1078</v>
      </c>
      <c r="K172" t="s">
        <v>235</v>
      </c>
      <c r="L172" t="s">
        <v>1079</v>
      </c>
      <c r="M172" t="s">
        <v>1080</v>
      </c>
    </row>
    <row r="173" spans="1:14">
      <c r="A173" s="3" t="s">
        <v>1639</v>
      </c>
      <c r="B173" t="s">
        <v>1083</v>
      </c>
      <c r="C173" t="s">
        <v>1084</v>
      </c>
      <c r="D173" t="s">
        <v>254</v>
      </c>
      <c r="E173">
        <v>115</v>
      </c>
      <c r="F173" t="s">
        <v>1085</v>
      </c>
      <c r="G173" t="s">
        <v>161</v>
      </c>
      <c r="H173" t="s">
        <v>1076</v>
      </c>
      <c r="I173" t="s">
        <v>1077</v>
      </c>
      <c r="J173" t="s">
        <v>1078</v>
      </c>
      <c r="K173" t="s">
        <v>235</v>
      </c>
      <c r="L173" t="s">
        <v>1079</v>
      </c>
      <c r="M173" t="s">
        <v>1080</v>
      </c>
    </row>
    <row r="174" spans="1:14">
      <c r="A174" s="3" t="s">
        <v>1639</v>
      </c>
      <c r="B174" t="s">
        <v>1086</v>
      </c>
      <c r="C174" t="s">
        <v>1087</v>
      </c>
      <c r="D174" t="s">
        <v>254</v>
      </c>
      <c r="E174">
        <v>75</v>
      </c>
      <c r="F174" t="s">
        <v>1088</v>
      </c>
      <c r="G174" t="s">
        <v>161</v>
      </c>
      <c r="H174" t="s">
        <v>1089</v>
      </c>
      <c r="I174" t="s">
        <v>1090</v>
      </c>
      <c r="J174" t="s">
        <v>1088</v>
      </c>
      <c r="K174" t="s">
        <v>235</v>
      </c>
      <c r="L174" t="s">
        <v>1091</v>
      </c>
      <c r="M174" t="s">
        <v>1092</v>
      </c>
    </row>
    <row r="175" spans="1:14">
      <c r="A175" s="3" t="s">
        <v>1639</v>
      </c>
      <c r="B175" t="s">
        <v>1093</v>
      </c>
      <c r="C175" t="s">
        <v>1094</v>
      </c>
      <c r="D175" t="s">
        <v>254</v>
      </c>
      <c r="E175">
        <v>45</v>
      </c>
      <c r="F175" t="s">
        <v>1095</v>
      </c>
      <c r="G175" t="s">
        <v>161</v>
      </c>
      <c r="H175" t="s">
        <v>1096</v>
      </c>
      <c r="I175" t="s">
        <v>1097</v>
      </c>
      <c r="J175" t="s">
        <v>1095</v>
      </c>
      <c r="K175" t="s">
        <v>235</v>
      </c>
      <c r="L175" t="s">
        <v>1098</v>
      </c>
      <c r="M175" t="s">
        <v>1099</v>
      </c>
      <c r="N175" t="s">
        <v>1100</v>
      </c>
    </row>
    <row r="176" spans="1:14">
      <c r="A176" s="3" t="s">
        <v>1639</v>
      </c>
      <c r="B176" t="s">
        <v>1140</v>
      </c>
      <c r="C176" t="s">
        <v>1141</v>
      </c>
      <c r="D176" t="s">
        <v>254</v>
      </c>
      <c r="E176">
        <v>32</v>
      </c>
      <c r="F176" t="s">
        <v>1142</v>
      </c>
      <c r="G176" t="s">
        <v>161</v>
      </c>
      <c r="H176" t="s">
        <v>1143</v>
      </c>
      <c r="I176" t="s">
        <v>1144</v>
      </c>
      <c r="J176" t="s">
        <v>1142</v>
      </c>
      <c r="K176" t="s">
        <v>235</v>
      </c>
      <c r="L176" t="s">
        <v>1145</v>
      </c>
      <c r="M176" t="s">
        <v>1146</v>
      </c>
      <c r="N176" t="s">
        <v>1147</v>
      </c>
    </row>
    <row r="177" spans="1:14">
      <c r="A177" s="3" t="s">
        <v>1639</v>
      </c>
      <c r="B177" t="s">
        <v>1180</v>
      </c>
      <c r="C177" t="s">
        <v>1181</v>
      </c>
      <c r="D177" t="s">
        <v>254</v>
      </c>
      <c r="E177">
        <v>25</v>
      </c>
      <c r="F177" t="s">
        <v>1182</v>
      </c>
      <c r="G177" t="s">
        <v>161</v>
      </c>
      <c r="H177" t="s">
        <v>1183</v>
      </c>
      <c r="I177" t="s">
        <v>1184</v>
      </c>
      <c r="J177" t="s">
        <v>1182</v>
      </c>
      <c r="K177" t="s">
        <v>235</v>
      </c>
      <c r="L177" t="s">
        <v>1145</v>
      </c>
      <c r="M177" t="s">
        <v>1185</v>
      </c>
      <c r="N177" t="s">
        <v>1186</v>
      </c>
    </row>
    <row r="178" spans="1:14">
      <c r="A178" s="3" t="s">
        <v>1639</v>
      </c>
      <c r="B178" t="s">
        <v>1262</v>
      </c>
      <c r="C178" t="s">
        <v>1263</v>
      </c>
      <c r="D178" t="s">
        <v>254</v>
      </c>
      <c r="E178">
        <v>80</v>
      </c>
      <c r="F178" t="s">
        <v>1189</v>
      </c>
      <c r="G178" t="s">
        <v>161</v>
      </c>
      <c r="H178" t="s">
        <v>385</v>
      </c>
      <c r="I178" t="s">
        <v>386</v>
      </c>
      <c r="J178" t="s">
        <v>387</v>
      </c>
      <c r="K178" t="s">
        <v>235</v>
      </c>
      <c r="L178" t="s">
        <v>388</v>
      </c>
      <c r="M178" t="s">
        <v>389</v>
      </c>
    </row>
    <row r="179" spans="1:14">
      <c r="A179" s="3" t="s">
        <v>1639</v>
      </c>
      <c r="B179" t="s">
        <v>1299</v>
      </c>
      <c r="C179" t="s">
        <v>1300</v>
      </c>
      <c r="D179" t="s">
        <v>254</v>
      </c>
      <c r="E179">
        <v>40</v>
      </c>
      <c r="F179" t="s">
        <v>1301</v>
      </c>
      <c r="G179" t="s">
        <v>161</v>
      </c>
      <c r="H179" t="s">
        <v>1302</v>
      </c>
      <c r="I179" t="s">
        <v>1303</v>
      </c>
      <c r="J179" t="s">
        <v>353</v>
      </c>
      <c r="K179" t="s">
        <v>235</v>
      </c>
      <c r="L179" t="s">
        <v>354</v>
      </c>
      <c r="M179" t="s">
        <v>1304</v>
      </c>
      <c r="N179" t="s">
        <v>1305</v>
      </c>
    </row>
    <row r="180" spans="1:14">
      <c r="A180" s="3" t="s">
        <v>1639</v>
      </c>
      <c r="B180" t="s">
        <v>1332</v>
      </c>
      <c r="C180" t="s">
        <v>1333</v>
      </c>
      <c r="D180" t="s">
        <v>254</v>
      </c>
      <c r="E180">
        <v>35</v>
      </c>
      <c r="F180" t="s">
        <v>1182</v>
      </c>
      <c r="G180" t="s">
        <v>161</v>
      </c>
      <c r="H180" t="s">
        <v>1334</v>
      </c>
      <c r="I180" t="s">
        <v>559</v>
      </c>
      <c r="J180" t="s">
        <v>200</v>
      </c>
      <c r="K180" t="s">
        <v>235</v>
      </c>
      <c r="L180" t="s">
        <v>201</v>
      </c>
      <c r="M180" t="s">
        <v>1335</v>
      </c>
      <c r="N180" t="s">
        <v>1336</v>
      </c>
    </row>
    <row r="181" spans="1:14">
      <c r="A181" s="3" t="s">
        <v>1639</v>
      </c>
      <c r="B181" t="s">
        <v>1409</v>
      </c>
      <c r="C181" t="s">
        <v>1410</v>
      </c>
      <c r="D181" t="s">
        <v>254</v>
      </c>
      <c r="E181">
        <v>184</v>
      </c>
      <c r="F181" t="s">
        <v>1182</v>
      </c>
      <c r="G181" t="s">
        <v>161</v>
      </c>
      <c r="H181" t="s">
        <v>1411</v>
      </c>
      <c r="I181" t="s">
        <v>1412</v>
      </c>
      <c r="J181" t="s">
        <v>1301</v>
      </c>
      <c r="K181" t="s">
        <v>235</v>
      </c>
      <c r="L181" t="s">
        <v>1413</v>
      </c>
      <c r="M181" t="s">
        <v>1414</v>
      </c>
    </row>
    <row r="182" spans="1:14">
      <c r="A182" s="3" t="s">
        <v>1639</v>
      </c>
      <c r="B182" t="s">
        <v>1415</v>
      </c>
      <c r="C182" t="s">
        <v>1416</v>
      </c>
      <c r="D182" t="s">
        <v>254</v>
      </c>
      <c r="E182">
        <v>163</v>
      </c>
      <c r="F182" t="s">
        <v>1059</v>
      </c>
      <c r="G182" t="s">
        <v>161</v>
      </c>
      <c r="H182" t="s">
        <v>1411</v>
      </c>
      <c r="I182" t="s">
        <v>1412</v>
      </c>
      <c r="J182" t="s">
        <v>1301</v>
      </c>
      <c r="K182" t="s">
        <v>235</v>
      </c>
      <c r="L182" t="s">
        <v>1413</v>
      </c>
      <c r="M182" t="s">
        <v>1414</v>
      </c>
    </row>
    <row r="183" spans="1:14">
      <c r="A183" s="3" t="s">
        <v>1639</v>
      </c>
      <c r="B183" t="s">
        <v>1417</v>
      </c>
      <c r="C183" t="s">
        <v>1418</v>
      </c>
      <c r="D183" t="s">
        <v>254</v>
      </c>
      <c r="E183">
        <v>143</v>
      </c>
      <c r="F183" t="s">
        <v>1301</v>
      </c>
      <c r="G183" t="s">
        <v>161</v>
      </c>
      <c r="H183" t="s">
        <v>1411</v>
      </c>
      <c r="I183" t="s">
        <v>1412</v>
      </c>
      <c r="J183" t="s">
        <v>1301</v>
      </c>
      <c r="K183" t="s">
        <v>235</v>
      </c>
      <c r="L183" t="s">
        <v>1413</v>
      </c>
      <c r="M183" t="s">
        <v>1414</v>
      </c>
    </row>
    <row r="184" spans="1:14">
      <c r="A184" s="3" t="s">
        <v>1639</v>
      </c>
      <c r="B184" t="s">
        <v>1419</v>
      </c>
      <c r="C184" t="s">
        <v>1420</v>
      </c>
      <c r="D184" t="s">
        <v>254</v>
      </c>
      <c r="E184">
        <v>162</v>
      </c>
      <c r="F184" t="s">
        <v>200</v>
      </c>
      <c r="G184" t="s">
        <v>161</v>
      </c>
      <c r="H184" t="s">
        <v>1411</v>
      </c>
      <c r="I184" t="s">
        <v>1412</v>
      </c>
      <c r="J184" t="s">
        <v>1301</v>
      </c>
      <c r="K184" t="s">
        <v>235</v>
      </c>
      <c r="L184" t="s">
        <v>1413</v>
      </c>
      <c r="M184" t="s">
        <v>1414</v>
      </c>
    </row>
    <row r="185" spans="1:14">
      <c r="A185" s="3" t="s">
        <v>1639</v>
      </c>
      <c r="B185" t="s">
        <v>1421</v>
      </c>
      <c r="C185" t="s">
        <v>1422</v>
      </c>
      <c r="D185" t="s">
        <v>254</v>
      </c>
      <c r="E185">
        <v>208</v>
      </c>
      <c r="F185" t="s">
        <v>1103</v>
      </c>
      <c r="G185" t="s">
        <v>161</v>
      </c>
      <c r="H185" t="s">
        <v>1423</v>
      </c>
      <c r="I185" t="s">
        <v>1424</v>
      </c>
      <c r="J185" t="s">
        <v>192</v>
      </c>
      <c r="K185" t="s">
        <v>235</v>
      </c>
      <c r="L185" t="s">
        <v>193</v>
      </c>
      <c r="M185" t="s">
        <v>1425</v>
      </c>
    </row>
    <row r="186" spans="1:14">
      <c r="A186" s="3" t="s">
        <v>1639</v>
      </c>
      <c r="B186" t="s">
        <v>1426</v>
      </c>
      <c r="C186" t="s">
        <v>1427</v>
      </c>
      <c r="D186" t="s">
        <v>254</v>
      </c>
      <c r="E186">
        <v>72</v>
      </c>
      <c r="F186" t="s">
        <v>1130</v>
      </c>
      <c r="G186" t="s">
        <v>161</v>
      </c>
      <c r="H186" t="s">
        <v>1428</v>
      </c>
      <c r="I186" t="s">
        <v>1424</v>
      </c>
      <c r="J186" t="s">
        <v>192</v>
      </c>
      <c r="K186" t="s">
        <v>235</v>
      </c>
      <c r="L186" t="s">
        <v>193</v>
      </c>
      <c r="M186" t="s">
        <v>1429</v>
      </c>
    </row>
    <row r="187" spans="1:14">
      <c r="A187" s="3" t="s">
        <v>1639</v>
      </c>
      <c r="B187" t="s">
        <v>1430</v>
      </c>
      <c r="C187" t="s">
        <v>1431</v>
      </c>
      <c r="D187" t="s">
        <v>254</v>
      </c>
      <c r="E187">
        <v>53</v>
      </c>
      <c r="F187" t="s">
        <v>1240</v>
      </c>
      <c r="G187" t="s">
        <v>161</v>
      </c>
      <c r="H187" t="s">
        <v>1432</v>
      </c>
      <c r="I187" t="s">
        <v>1433</v>
      </c>
      <c r="J187" t="s">
        <v>1109</v>
      </c>
      <c r="K187" t="s">
        <v>235</v>
      </c>
      <c r="L187" t="s">
        <v>1434</v>
      </c>
    </row>
    <row r="188" spans="1:14">
      <c r="A188" s="3" t="s">
        <v>1639</v>
      </c>
      <c r="B188" t="s">
        <v>1435</v>
      </c>
      <c r="C188" t="s">
        <v>1436</v>
      </c>
      <c r="D188" t="s">
        <v>254</v>
      </c>
      <c r="E188">
        <v>232</v>
      </c>
      <c r="F188" t="s">
        <v>1109</v>
      </c>
      <c r="G188" t="s">
        <v>161</v>
      </c>
      <c r="H188" t="s">
        <v>1437</v>
      </c>
      <c r="I188" t="s">
        <v>1433</v>
      </c>
      <c r="J188" t="s">
        <v>1109</v>
      </c>
      <c r="K188" t="s">
        <v>235</v>
      </c>
      <c r="L188" t="s">
        <v>1112</v>
      </c>
      <c r="M188" t="s">
        <v>1438</v>
      </c>
      <c r="N188" t="s">
        <v>1439</v>
      </c>
    </row>
    <row r="189" spans="1:14">
      <c r="A189" s="3" t="s">
        <v>1639</v>
      </c>
      <c r="B189" t="s">
        <v>1440</v>
      </c>
      <c r="C189" t="s">
        <v>1441</v>
      </c>
      <c r="D189" t="s">
        <v>254</v>
      </c>
      <c r="E189">
        <v>62</v>
      </c>
      <c r="F189" t="s">
        <v>1121</v>
      </c>
      <c r="G189" t="s">
        <v>161</v>
      </c>
      <c r="H189" t="s">
        <v>1442</v>
      </c>
      <c r="I189" t="s">
        <v>1077</v>
      </c>
      <c r="J189" t="s">
        <v>1078</v>
      </c>
      <c r="K189" t="s">
        <v>235</v>
      </c>
      <c r="L189" t="s">
        <v>1079</v>
      </c>
    </row>
    <row r="190" spans="1:14">
      <c r="A190" s="3" t="s">
        <v>1639</v>
      </c>
      <c r="B190" t="s">
        <v>1443</v>
      </c>
      <c r="C190" t="s">
        <v>1444</v>
      </c>
      <c r="D190" t="s">
        <v>254</v>
      </c>
      <c r="E190">
        <v>123</v>
      </c>
      <c r="F190" t="s">
        <v>208</v>
      </c>
      <c r="G190" t="s">
        <v>161</v>
      </c>
      <c r="H190" t="s">
        <v>1445</v>
      </c>
      <c r="I190" t="s">
        <v>1446</v>
      </c>
      <c r="J190" t="s">
        <v>208</v>
      </c>
      <c r="K190" t="s">
        <v>235</v>
      </c>
      <c r="L190" t="s">
        <v>209</v>
      </c>
      <c r="M190" t="s">
        <v>1447</v>
      </c>
    </row>
    <row r="191" spans="1:14">
      <c r="A191" s="3" t="s">
        <v>1639</v>
      </c>
      <c r="B191" t="s">
        <v>1448</v>
      </c>
      <c r="C191" t="s">
        <v>1449</v>
      </c>
      <c r="D191" t="s">
        <v>254</v>
      </c>
      <c r="E191">
        <v>150</v>
      </c>
      <c r="F191" t="s">
        <v>184</v>
      </c>
      <c r="G191" t="s">
        <v>161</v>
      </c>
      <c r="H191" t="s">
        <v>1450</v>
      </c>
      <c r="I191" t="s">
        <v>1451</v>
      </c>
      <c r="J191" t="s">
        <v>184</v>
      </c>
      <c r="K191" t="s">
        <v>235</v>
      </c>
      <c r="L191" t="s">
        <v>185</v>
      </c>
    </row>
    <row r="192" spans="1:14">
      <c r="A192" s="3" t="s">
        <v>1639</v>
      </c>
      <c r="B192" t="s">
        <v>1452</v>
      </c>
      <c r="C192" t="s">
        <v>1453</v>
      </c>
      <c r="D192" t="s">
        <v>254</v>
      </c>
      <c r="E192">
        <v>48</v>
      </c>
      <c r="F192" t="s">
        <v>1396</v>
      </c>
      <c r="G192" t="s">
        <v>161</v>
      </c>
      <c r="H192" t="s">
        <v>1454</v>
      </c>
      <c r="I192" t="s">
        <v>1455</v>
      </c>
      <c r="J192" t="s">
        <v>160</v>
      </c>
      <c r="K192" t="s">
        <v>235</v>
      </c>
      <c r="L192" t="s">
        <v>162</v>
      </c>
      <c r="M192" t="s">
        <v>1456</v>
      </c>
    </row>
    <row r="193" spans="1:14">
      <c r="A193" s="3" t="s">
        <v>1639</v>
      </c>
      <c r="B193" t="s">
        <v>1505</v>
      </c>
      <c r="C193" t="s">
        <v>1506</v>
      </c>
      <c r="D193" t="s">
        <v>254</v>
      </c>
      <c r="E193">
        <v>120</v>
      </c>
      <c r="F193" t="s">
        <v>1249</v>
      </c>
      <c r="G193" t="s">
        <v>161</v>
      </c>
      <c r="H193" t="s">
        <v>1507</v>
      </c>
      <c r="I193" t="s">
        <v>1508</v>
      </c>
      <c r="J193" t="s">
        <v>353</v>
      </c>
      <c r="K193" t="s">
        <v>235</v>
      </c>
      <c r="L193" t="s">
        <v>354</v>
      </c>
      <c r="M193" t="s">
        <v>1509</v>
      </c>
      <c r="N193" t="s">
        <v>1510</v>
      </c>
    </row>
    <row r="194" spans="1:14">
      <c r="A194" s="3" t="s">
        <v>1639</v>
      </c>
      <c r="B194" t="s">
        <v>1537</v>
      </c>
      <c r="C194" t="s">
        <v>1538</v>
      </c>
      <c r="D194" t="s">
        <v>254</v>
      </c>
      <c r="E194">
        <v>49</v>
      </c>
      <c r="F194" t="s">
        <v>200</v>
      </c>
      <c r="G194" t="s">
        <v>161</v>
      </c>
      <c r="H194" t="s">
        <v>1539</v>
      </c>
      <c r="I194" t="s">
        <v>1540</v>
      </c>
      <c r="J194" t="s">
        <v>200</v>
      </c>
      <c r="K194" t="s">
        <v>235</v>
      </c>
      <c r="L194" t="s">
        <v>201</v>
      </c>
      <c r="M194" t="s">
        <v>1541</v>
      </c>
    </row>
    <row r="195" spans="1:14">
      <c r="A195" s="3" t="s">
        <v>1639</v>
      </c>
      <c r="B195" t="s">
        <v>1568</v>
      </c>
      <c r="C195" t="s">
        <v>1569</v>
      </c>
      <c r="D195" t="s">
        <v>254</v>
      </c>
      <c r="E195">
        <v>75</v>
      </c>
      <c r="F195" t="s">
        <v>1570</v>
      </c>
      <c r="G195" t="s">
        <v>161</v>
      </c>
      <c r="H195" t="s">
        <v>1423</v>
      </c>
      <c r="I195" t="s">
        <v>1424</v>
      </c>
      <c r="J195" t="s">
        <v>192</v>
      </c>
      <c r="K195" t="s">
        <v>235</v>
      </c>
      <c r="L195" t="s">
        <v>193</v>
      </c>
      <c r="M195" t="s">
        <v>1425</v>
      </c>
    </row>
    <row r="196" spans="1:14">
      <c r="A196" s="3" t="s">
        <v>1639</v>
      </c>
      <c r="B196" t="s">
        <v>1571</v>
      </c>
      <c r="C196" t="s">
        <v>1572</v>
      </c>
      <c r="D196" t="s">
        <v>254</v>
      </c>
      <c r="E196">
        <v>88</v>
      </c>
      <c r="F196" t="s">
        <v>192</v>
      </c>
      <c r="G196" t="s">
        <v>161</v>
      </c>
      <c r="H196" t="s">
        <v>1573</v>
      </c>
      <c r="I196" t="s">
        <v>1424</v>
      </c>
      <c r="J196" t="s">
        <v>192</v>
      </c>
      <c r="K196" t="s">
        <v>235</v>
      </c>
      <c r="L196" t="s">
        <v>1235</v>
      </c>
      <c r="M196" t="s">
        <v>1429</v>
      </c>
    </row>
    <row r="197" spans="1:14">
      <c r="A197" s="3" t="s">
        <v>1639</v>
      </c>
      <c r="B197" t="s">
        <v>1594</v>
      </c>
      <c r="C197" t="s">
        <v>1595</v>
      </c>
      <c r="D197" t="s">
        <v>254</v>
      </c>
      <c r="E197">
        <v>29</v>
      </c>
      <c r="F197" t="s">
        <v>1570</v>
      </c>
      <c r="G197" t="s">
        <v>161</v>
      </c>
      <c r="H197" t="s">
        <v>1596</v>
      </c>
      <c r="I197" t="s">
        <v>1597</v>
      </c>
      <c r="J197" t="s">
        <v>1570</v>
      </c>
      <c r="K197" t="s">
        <v>235</v>
      </c>
      <c r="L197" t="s">
        <v>1598</v>
      </c>
      <c r="M197" t="s">
        <v>1599</v>
      </c>
      <c r="N197" t="s">
        <v>1600</v>
      </c>
    </row>
    <row r="198" spans="1:14">
      <c r="A198" s="3" t="s">
        <v>1639</v>
      </c>
      <c r="B198" t="s">
        <v>1601</v>
      </c>
      <c r="C198" t="s">
        <v>1602</v>
      </c>
      <c r="D198" t="s">
        <v>254</v>
      </c>
      <c r="E198">
        <v>351</v>
      </c>
      <c r="F198" t="s">
        <v>1103</v>
      </c>
      <c r="G198" t="s">
        <v>161</v>
      </c>
      <c r="H198" t="s">
        <v>1603</v>
      </c>
      <c r="I198" t="s">
        <v>751</v>
      </c>
      <c r="J198" t="s">
        <v>1103</v>
      </c>
      <c r="K198" t="s">
        <v>235</v>
      </c>
      <c r="L198" t="s">
        <v>1106</v>
      </c>
    </row>
    <row r="199" spans="1:14">
      <c r="A199" s="3" t="s">
        <v>1639</v>
      </c>
      <c r="B199" t="s">
        <v>1604</v>
      </c>
      <c r="C199" t="s">
        <v>1605</v>
      </c>
      <c r="D199" t="s">
        <v>254</v>
      </c>
      <c r="E199">
        <v>351</v>
      </c>
      <c r="F199" t="s">
        <v>1103</v>
      </c>
      <c r="G199" t="s">
        <v>161</v>
      </c>
      <c r="H199" t="s">
        <v>1603</v>
      </c>
      <c r="I199" t="s">
        <v>751</v>
      </c>
      <c r="J199" t="s">
        <v>1103</v>
      </c>
      <c r="K199" t="s">
        <v>235</v>
      </c>
      <c r="L199" t="s">
        <v>1106</v>
      </c>
    </row>
    <row r="200" spans="1:14">
      <c r="A200" s="3" t="s">
        <v>1639</v>
      </c>
      <c r="B200" t="s">
        <v>1606</v>
      </c>
      <c r="C200" t="s">
        <v>1607</v>
      </c>
      <c r="D200" t="s">
        <v>254</v>
      </c>
      <c r="E200">
        <v>120</v>
      </c>
      <c r="F200" t="s">
        <v>1103</v>
      </c>
      <c r="G200" t="s">
        <v>161</v>
      </c>
      <c r="H200" t="s">
        <v>1608</v>
      </c>
      <c r="I200" t="s">
        <v>751</v>
      </c>
      <c r="J200" t="s">
        <v>1103</v>
      </c>
      <c r="K200" t="s">
        <v>235</v>
      </c>
      <c r="L200" t="s">
        <v>1106</v>
      </c>
      <c r="M200" t="s">
        <v>1609</v>
      </c>
      <c r="N200" t="s">
        <v>1610</v>
      </c>
    </row>
    <row r="201" spans="1:14">
      <c r="A201" s="3" t="s">
        <v>1639</v>
      </c>
      <c r="B201" t="s">
        <v>1618</v>
      </c>
      <c r="C201" t="s">
        <v>1619</v>
      </c>
      <c r="D201" t="s">
        <v>254</v>
      </c>
      <c r="E201">
        <v>120</v>
      </c>
      <c r="F201" t="s">
        <v>1078</v>
      </c>
      <c r="G201" t="s">
        <v>161</v>
      </c>
      <c r="H201" t="s">
        <v>1613</v>
      </c>
      <c r="I201" t="s">
        <v>1614</v>
      </c>
      <c r="J201" t="s">
        <v>1078</v>
      </c>
      <c r="K201" t="s">
        <v>235</v>
      </c>
      <c r="L201" t="s">
        <v>1615</v>
      </c>
      <c r="M201" t="s">
        <v>1616</v>
      </c>
      <c r="N201" t="s">
        <v>1617</v>
      </c>
    </row>
    <row r="202" spans="1:14">
      <c r="A202" s="3" t="s">
        <v>1639</v>
      </c>
      <c r="B202" t="s">
        <v>1620</v>
      </c>
      <c r="C202" t="s">
        <v>1621</v>
      </c>
      <c r="D202" t="s">
        <v>254</v>
      </c>
      <c r="E202">
        <v>400</v>
      </c>
      <c r="F202" t="s">
        <v>1078</v>
      </c>
      <c r="G202" t="s">
        <v>161</v>
      </c>
      <c r="H202" t="s">
        <v>1613</v>
      </c>
      <c r="I202" t="s">
        <v>1614</v>
      </c>
      <c r="J202" t="s">
        <v>1078</v>
      </c>
      <c r="K202" t="s">
        <v>235</v>
      </c>
      <c r="L202" t="s">
        <v>1615</v>
      </c>
      <c r="M202" t="s">
        <v>1616</v>
      </c>
      <c r="N202" t="s">
        <v>1617</v>
      </c>
    </row>
    <row r="203" spans="1:14">
      <c r="A203" s="3" t="s">
        <v>1639</v>
      </c>
      <c r="B203" t="s">
        <v>1622</v>
      </c>
      <c r="C203" t="s">
        <v>1623</v>
      </c>
      <c r="D203" t="s">
        <v>254</v>
      </c>
      <c r="E203">
        <v>50</v>
      </c>
      <c r="F203" t="s">
        <v>1078</v>
      </c>
      <c r="G203" t="s">
        <v>161</v>
      </c>
      <c r="H203" t="s">
        <v>1613</v>
      </c>
      <c r="I203" t="s">
        <v>1614</v>
      </c>
      <c r="J203" t="s">
        <v>1078</v>
      </c>
      <c r="K203" t="s">
        <v>235</v>
      </c>
      <c r="L203" t="s">
        <v>1615</v>
      </c>
      <c r="M203" t="s">
        <v>1616</v>
      </c>
      <c r="N203" t="s">
        <v>1617</v>
      </c>
    </row>
    <row r="204" spans="1:14">
      <c r="A204" s="3" t="s">
        <v>1639</v>
      </c>
      <c r="B204" t="s">
        <v>1101</v>
      </c>
      <c r="C204" t="s">
        <v>1102</v>
      </c>
      <c r="D204" t="s">
        <v>231</v>
      </c>
      <c r="E204">
        <v>25</v>
      </c>
      <c r="F204" t="s">
        <v>1103</v>
      </c>
      <c r="G204" t="s">
        <v>161</v>
      </c>
      <c r="H204" t="s">
        <v>1104</v>
      </c>
      <c r="I204" t="s">
        <v>1105</v>
      </c>
      <c r="J204" t="s">
        <v>1103</v>
      </c>
      <c r="K204" t="s">
        <v>235</v>
      </c>
      <c r="L204" t="s">
        <v>1106</v>
      </c>
    </row>
    <row r="205" spans="1:14">
      <c r="A205" s="3" t="s">
        <v>1639</v>
      </c>
      <c r="B205" t="s">
        <v>1107</v>
      </c>
      <c r="C205" t="s">
        <v>1108</v>
      </c>
      <c r="D205" t="s">
        <v>231</v>
      </c>
      <c r="E205">
        <v>51</v>
      </c>
      <c r="F205" t="s">
        <v>1109</v>
      </c>
      <c r="G205" t="s">
        <v>161</v>
      </c>
      <c r="H205" t="s">
        <v>1110</v>
      </c>
      <c r="I205" t="s">
        <v>1111</v>
      </c>
      <c r="J205" t="s">
        <v>1109</v>
      </c>
      <c r="K205" t="s">
        <v>235</v>
      </c>
      <c r="L205" t="s">
        <v>1112</v>
      </c>
    </row>
    <row r="206" spans="1:14">
      <c r="A206" s="3" t="s">
        <v>1639</v>
      </c>
      <c r="B206" t="s">
        <v>1119</v>
      </c>
      <c r="C206" t="s">
        <v>1120</v>
      </c>
      <c r="D206" t="s">
        <v>231</v>
      </c>
      <c r="E206">
        <v>150</v>
      </c>
      <c r="F206" t="s">
        <v>1121</v>
      </c>
      <c r="G206" t="s">
        <v>161</v>
      </c>
      <c r="H206" t="s">
        <v>1122</v>
      </c>
      <c r="I206" t="s">
        <v>1123</v>
      </c>
      <c r="J206" t="s">
        <v>1124</v>
      </c>
      <c r="K206" t="s">
        <v>235</v>
      </c>
      <c r="L206" t="s">
        <v>1125</v>
      </c>
      <c r="M206" t="s">
        <v>1126</v>
      </c>
      <c r="N206" t="s">
        <v>1127</v>
      </c>
    </row>
    <row r="207" spans="1:14">
      <c r="A207" s="3" t="s">
        <v>1639</v>
      </c>
      <c r="B207" t="s">
        <v>1128</v>
      </c>
      <c r="C207" t="s">
        <v>1129</v>
      </c>
      <c r="D207" t="s">
        <v>231</v>
      </c>
      <c r="E207">
        <v>90</v>
      </c>
      <c r="F207" t="s">
        <v>1130</v>
      </c>
      <c r="G207" t="s">
        <v>161</v>
      </c>
      <c r="H207" t="s">
        <v>1131</v>
      </c>
      <c r="I207" t="s">
        <v>1132</v>
      </c>
      <c r="J207" t="s">
        <v>1130</v>
      </c>
      <c r="K207" t="s">
        <v>235</v>
      </c>
      <c r="L207" t="s">
        <v>1133</v>
      </c>
      <c r="M207" t="s">
        <v>1134</v>
      </c>
    </row>
    <row r="208" spans="1:14">
      <c r="A208" s="3" t="s">
        <v>1639</v>
      </c>
      <c r="B208" t="s">
        <v>1153</v>
      </c>
      <c r="C208" t="s">
        <v>1154</v>
      </c>
      <c r="D208" t="s">
        <v>231</v>
      </c>
      <c r="E208">
        <v>41</v>
      </c>
      <c r="F208" t="s">
        <v>1155</v>
      </c>
      <c r="G208" t="s">
        <v>161</v>
      </c>
      <c r="H208" t="s">
        <v>1156</v>
      </c>
      <c r="I208" t="s">
        <v>1157</v>
      </c>
      <c r="J208" t="s">
        <v>1158</v>
      </c>
      <c r="K208" t="s">
        <v>1159</v>
      </c>
      <c r="L208" t="s">
        <v>1160</v>
      </c>
      <c r="M208" t="s">
        <v>1161</v>
      </c>
      <c r="N208" t="s">
        <v>1162</v>
      </c>
    </row>
    <row r="209" spans="1:14">
      <c r="A209" s="3" t="s">
        <v>1639</v>
      </c>
      <c r="B209" t="s">
        <v>1163</v>
      </c>
      <c r="C209" t="s">
        <v>1164</v>
      </c>
      <c r="D209" t="s">
        <v>231</v>
      </c>
      <c r="E209">
        <v>72</v>
      </c>
      <c r="F209" t="s">
        <v>1085</v>
      </c>
      <c r="G209" t="s">
        <v>161</v>
      </c>
      <c r="H209" t="s">
        <v>1165</v>
      </c>
      <c r="I209" t="s">
        <v>1166</v>
      </c>
      <c r="J209" t="s">
        <v>1085</v>
      </c>
      <c r="K209" t="s">
        <v>235</v>
      </c>
      <c r="L209" t="s">
        <v>1167</v>
      </c>
      <c r="M209" t="s">
        <v>1168</v>
      </c>
      <c r="N209" t="s">
        <v>1169</v>
      </c>
    </row>
    <row r="210" spans="1:14">
      <c r="A210" s="3" t="s">
        <v>1639</v>
      </c>
      <c r="B210" t="s">
        <v>1170</v>
      </c>
      <c r="C210" t="s">
        <v>1171</v>
      </c>
      <c r="D210" t="s">
        <v>231</v>
      </c>
      <c r="E210">
        <v>110</v>
      </c>
      <c r="F210" t="s">
        <v>192</v>
      </c>
      <c r="G210" t="s">
        <v>161</v>
      </c>
      <c r="H210" t="s">
        <v>1172</v>
      </c>
      <c r="I210" t="s">
        <v>1173</v>
      </c>
      <c r="J210" t="s">
        <v>192</v>
      </c>
      <c r="K210" t="s">
        <v>235</v>
      </c>
      <c r="L210" t="s">
        <v>193</v>
      </c>
      <c r="M210" t="s">
        <v>1174</v>
      </c>
    </row>
    <row r="211" spans="1:14">
      <c r="A211" s="3" t="s">
        <v>1639</v>
      </c>
      <c r="B211" t="s">
        <v>1175</v>
      </c>
      <c r="C211" t="s">
        <v>1176</v>
      </c>
      <c r="D211" t="s">
        <v>231</v>
      </c>
      <c r="E211">
        <v>54</v>
      </c>
      <c r="F211" t="s">
        <v>1130</v>
      </c>
      <c r="G211" t="s">
        <v>161</v>
      </c>
      <c r="H211" t="s">
        <v>1177</v>
      </c>
      <c r="I211" t="s">
        <v>1178</v>
      </c>
      <c r="J211" t="s">
        <v>192</v>
      </c>
      <c r="K211" t="s">
        <v>235</v>
      </c>
      <c r="L211" t="s">
        <v>193</v>
      </c>
      <c r="M211" t="s">
        <v>1179</v>
      </c>
    </row>
    <row r="212" spans="1:14">
      <c r="A212" s="3" t="s">
        <v>1639</v>
      </c>
      <c r="B212" t="s">
        <v>1187</v>
      </c>
      <c r="C212" t="s">
        <v>1188</v>
      </c>
      <c r="D212" t="s">
        <v>231</v>
      </c>
      <c r="E212">
        <v>45</v>
      </c>
      <c r="F212" t="s">
        <v>1189</v>
      </c>
      <c r="G212" t="s">
        <v>161</v>
      </c>
      <c r="H212" t="s">
        <v>1190</v>
      </c>
      <c r="I212" t="s">
        <v>1191</v>
      </c>
      <c r="J212" t="s">
        <v>1192</v>
      </c>
      <c r="K212" t="s">
        <v>235</v>
      </c>
      <c r="L212" t="s">
        <v>1193</v>
      </c>
      <c r="M212" t="s">
        <v>1194</v>
      </c>
    </row>
    <row r="213" spans="1:14">
      <c r="A213" s="3" t="s">
        <v>1639</v>
      </c>
      <c r="B213" t="s">
        <v>1195</v>
      </c>
      <c r="C213" t="s">
        <v>1196</v>
      </c>
      <c r="D213" t="s">
        <v>231</v>
      </c>
      <c r="E213">
        <v>30</v>
      </c>
      <c r="F213" t="s">
        <v>1197</v>
      </c>
      <c r="G213" t="s">
        <v>161</v>
      </c>
      <c r="H213" t="s">
        <v>1198</v>
      </c>
      <c r="I213" t="s">
        <v>1199</v>
      </c>
      <c r="J213" t="s">
        <v>1200</v>
      </c>
      <c r="K213" t="s">
        <v>235</v>
      </c>
      <c r="L213" t="s">
        <v>1201</v>
      </c>
      <c r="M213" t="s">
        <v>1202</v>
      </c>
      <c r="N213" t="s">
        <v>1203</v>
      </c>
    </row>
    <row r="214" spans="1:14">
      <c r="A214" s="3" t="s">
        <v>1639</v>
      </c>
      <c r="B214" t="s">
        <v>1204</v>
      </c>
      <c r="C214" t="s">
        <v>1205</v>
      </c>
      <c r="D214" t="s">
        <v>231</v>
      </c>
      <c r="E214">
        <v>120</v>
      </c>
      <c r="F214" t="s">
        <v>1197</v>
      </c>
      <c r="G214" t="s">
        <v>161</v>
      </c>
      <c r="H214" t="s">
        <v>1198</v>
      </c>
      <c r="I214" t="s">
        <v>1199</v>
      </c>
      <c r="J214" t="s">
        <v>1200</v>
      </c>
      <c r="K214" t="s">
        <v>235</v>
      </c>
      <c r="L214" t="s">
        <v>1201</v>
      </c>
      <c r="M214" t="s">
        <v>1202</v>
      </c>
      <c r="N214" t="s">
        <v>1203</v>
      </c>
    </row>
    <row r="215" spans="1:14">
      <c r="A215" s="3" t="s">
        <v>1639</v>
      </c>
      <c r="B215" t="s">
        <v>1224</v>
      </c>
      <c r="C215" t="s">
        <v>1225</v>
      </c>
      <c r="D215" t="s">
        <v>231</v>
      </c>
      <c r="E215">
        <v>40</v>
      </c>
      <c r="F215" t="s">
        <v>192</v>
      </c>
      <c r="G215" t="s">
        <v>161</v>
      </c>
      <c r="H215" t="s">
        <v>1226</v>
      </c>
      <c r="I215" t="s">
        <v>1227</v>
      </c>
      <c r="J215" t="s">
        <v>192</v>
      </c>
      <c r="K215" t="s">
        <v>235</v>
      </c>
      <c r="L215" t="s">
        <v>193</v>
      </c>
      <c r="M215" t="s">
        <v>1228</v>
      </c>
      <c r="N215" t="s">
        <v>1229</v>
      </c>
    </row>
    <row r="216" spans="1:14">
      <c r="A216" s="3" t="s">
        <v>1639</v>
      </c>
      <c r="B216" t="s">
        <v>1238</v>
      </c>
      <c r="C216" t="s">
        <v>1239</v>
      </c>
      <c r="D216" t="s">
        <v>231</v>
      </c>
      <c r="E216">
        <v>30</v>
      </c>
      <c r="F216" t="s">
        <v>1240</v>
      </c>
      <c r="G216" t="s">
        <v>161</v>
      </c>
      <c r="H216" t="s">
        <v>1241</v>
      </c>
      <c r="I216" t="s">
        <v>1242</v>
      </c>
      <c r="J216" t="s">
        <v>1243</v>
      </c>
      <c r="K216" t="s">
        <v>235</v>
      </c>
      <c r="L216" t="s">
        <v>1244</v>
      </c>
      <c r="M216" t="s">
        <v>1245</v>
      </c>
      <c r="N216" t="s">
        <v>1246</v>
      </c>
    </row>
    <row r="217" spans="1:14">
      <c r="A217" s="3" t="s">
        <v>1639</v>
      </c>
      <c r="B217" t="s">
        <v>1247</v>
      </c>
      <c r="C217" t="s">
        <v>1248</v>
      </c>
      <c r="D217" t="s">
        <v>231</v>
      </c>
      <c r="E217">
        <v>203</v>
      </c>
      <c r="F217" t="s">
        <v>1249</v>
      </c>
      <c r="G217" t="s">
        <v>161</v>
      </c>
      <c r="H217" t="s">
        <v>1250</v>
      </c>
      <c r="I217" t="s">
        <v>1251</v>
      </c>
      <c r="J217" t="s">
        <v>1249</v>
      </c>
      <c r="K217" t="s">
        <v>235</v>
      </c>
      <c r="L217" t="s">
        <v>1252</v>
      </c>
      <c r="M217" t="s">
        <v>1253</v>
      </c>
      <c r="N217" t="s">
        <v>1254</v>
      </c>
    </row>
    <row r="218" spans="1:14">
      <c r="A218" s="3" t="s">
        <v>1639</v>
      </c>
      <c r="B218" t="s">
        <v>1255</v>
      </c>
      <c r="C218" t="s">
        <v>1256</v>
      </c>
      <c r="D218" t="s">
        <v>231</v>
      </c>
      <c r="E218">
        <v>26</v>
      </c>
      <c r="F218" t="s">
        <v>1249</v>
      </c>
      <c r="G218" t="s">
        <v>161</v>
      </c>
      <c r="H218" t="s">
        <v>1250</v>
      </c>
      <c r="I218" t="s">
        <v>1251</v>
      </c>
      <c r="J218" t="s">
        <v>1249</v>
      </c>
      <c r="K218" t="s">
        <v>235</v>
      </c>
      <c r="L218" t="s">
        <v>1252</v>
      </c>
      <c r="M218" t="s">
        <v>1253</v>
      </c>
      <c r="N218" t="s">
        <v>1254</v>
      </c>
    </row>
    <row r="219" spans="1:14">
      <c r="A219" s="3" t="s">
        <v>1639</v>
      </c>
      <c r="B219" t="s">
        <v>1257</v>
      </c>
      <c r="C219" t="s">
        <v>1258</v>
      </c>
      <c r="D219" t="s">
        <v>231</v>
      </c>
      <c r="E219">
        <v>26</v>
      </c>
      <c r="F219" t="s">
        <v>1103</v>
      </c>
      <c r="G219" t="s">
        <v>161</v>
      </c>
      <c r="H219" t="s">
        <v>1259</v>
      </c>
      <c r="I219" t="s">
        <v>1260</v>
      </c>
      <c r="J219" t="s">
        <v>1103</v>
      </c>
      <c r="K219" t="s">
        <v>235</v>
      </c>
      <c r="L219" t="s">
        <v>1106</v>
      </c>
      <c r="M219" t="s">
        <v>1261</v>
      </c>
    </row>
    <row r="220" spans="1:14">
      <c r="A220" s="3" t="s">
        <v>1639</v>
      </c>
      <c r="B220" t="s">
        <v>1264</v>
      </c>
      <c r="C220" t="s">
        <v>1265</v>
      </c>
      <c r="D220" t="s">
        <v>231</v>
      </c>
      <c r="E220">
        <v>100</v>
      </c>
      <c r="F220" t="s">
        <v>1069</v>
      </c>
      <c r="G220" t="s">
        <v>161</v>
      </c>
      <c r="H220" t="s">
        <v>1266</v>
      </c>
      <c r="I220" t="s">
        <v>1027</v>
      </c>
      <c r="J220" t="s">
        <v>1069</v>
      </c>
      <c r="K220" t="s">
        <v>235</v>
      </c>
      <c r="L220" t="s">
        <v>1070</v>
      </c>
      <c r="M220" t="s">
        <v>1267</v>
      </c>
    </row>
    <row r="221" spans="1:14">
      <c r="A221" s="3" t="s">
        <v>1639</v>
      </c>
      <c r="B221" t="s">
        <v>1268</v>
      </c>
      <c r="C221" t="s">
        <v>1269</v>
      </c>
      <c r="D221" t="s">
        <v>231</v>
      </c>
      <c r="E221">
        <v>129</v>
      </c>
      <c r="F221" t="s">
        <v>1066</v>
      </c>
      <c r="G221" t="s">
        <v>161</v>
      </c>
      <c r="H221" t="s">
        <v>1270</v>
      </c>
      <c r="I221" t="s">
        <v>1271</v>
      </c>
      <c r="J221" t="s">
        <v>1066</v>
      </c>
      <c r="K221" t="s">
        <v>235</v>
      </c>
      <c r="L221" t="s">
        <v>1070</v>
      </c>
      <c r="M221" t="s">
        <v>1272</v>
      </c>
      <c r="N221" t="s">
        <v>1273</v>
      </c>
    </row>
    <row r="222" spans="1:14">
      <c r="A222" s="3" t="s">
        <v>1639</v>
      </c>
      <c r="B222" t="s">
        <v>1280</v>
      </c>
      <c r="C222" t="s">
        <v>1281</v>
      </c>
      <c r="D222" t="s">
        <v>231</v>
      </c>
      <c r="E222">
        <v>30</v>
      </c>
      <c r="F222" t="s">
        <v>1282</v>
      </c>
      <c r="G222" t="s">
        <v>161</v>
      </c>
      <c r="H222" t="s">
        <v>1283</v>
      </c>
      <c r="I222" t="s">
        <v>1284</v>
      </c>
      <c r="J222" t="s">
        <v>1285</v>
      </c>
      <c r="K222" t="s">
        <v>235</v>
      </c>
      <c r="L222" t="s">
        <v>193</v>
      </c>
      <c r="M222" t="s">
        <v>1286</v>
      </c>
    </row>
    <row r="223" spans="1:14">
      <c r="A223" s="3" t="s">
        <v>1639</v>
      </c>
      <c r="B223" t="s">
        <v>1287</v>
      </c>
      <c r="C223" t="s">
        <v>1288</v>
      </c>
      <c r="D223" t="s">
        <v>231</v>
      </c>
      <c r="E223">
        <v>93</v>
      </c>
      <c r="F223" t="s">
        <v>169</v>
      </c>
      <c r="G223" t="s">
        <v>161</v>
      </c>
      <c r="H223" t="s">
        <v>1289</v>
      </c>
      <c r="I223" t="s">
        <v>1290</v>
      </c>
      <c r="J223" t="s">
        <v>71</v>
      </c>
      <c r="K223" t="s">
        <v>235</v>
      </c>
      <c r="L223" t="s">
        <v>72</v>
      </c>
      <c r="M223" t="s">
        <v>1291</v>
      </c>
      <c r="N223" t="s">
        <v>1292</v>
      </c>
    </row>
    <row r="224" spans="1:14">
      <c r="A224" s="3" t="s">
        <v>1639</v>
      </c>
      <c r="B224" t="s">
        <v>1306</v>
      </c>
      <c r="C224" t="s">
        <v>1307</v>
      </c>
      <c r="D224" t="s">
        <v>231</v>
      </c>
      <c r="E224">
        <v>88</v>
      </c>
      <c r="F224" t="s">
        <v>176</v>
      </c>
      <c r="G224" t="s">
        <v>161</v>
      </c>
      <c r="H224" t="s">
        <v>1308</v>
      </c>
      <c r="I224" t="s">
        <v>1309</v>
      </c>
      <c r="J224" t="s">
        <v>176</v>
      </c>
      <c r="K224" t="s">
        <v>235</v>
      </c>
      <c r="L224" t="s">
        <v>177</v>
      </c>
      <c r="M224" t="s">
        <v>1310</v>
      </c>
    </row>
    <row r="225" spans="1:14" s="2" customFormat="1">
      <c r="A225" s="3" t="s">
        <v>1639</v>
      </c>
      <c r="B225" t="s">
        <v>1311</v>
      </c>
      <c r="C225" t="s">
        <v>1312</v>
      </c>
      <c r="D225" t="s">
        <v>231</v>
      </c>
      <c r="E225">
        <v>50</v>
      </c>
      <c r="F225" t="s">
        <v>1078</v>
      </c>
      <c r="G225" t="s">
        <v>161</v>
      </c>
      <c r="H225" t="s">
        <v>1313</v>
      </c>
      <c r="I225" t="s">
        <v>1314</v>
      </c>
      <c r="J225" t="s">
        <v>1078</v>
      </c>
      <c r="K225" t="s">
        <v>235</v>
      </c>
      <c r="L225" t="s">
        <v>1079</v>
      </c>
      <c r="M225" t="s">
        <v>1315</v>
      </c>
      <c r="N225"/>
    </row>
    <row r="226" spans="1:14">
      <c r="A226" s="3" t="s">
        <v>1639</v>
      </c>
      <c r="B226" t="s">
        <v>1316</v>
      </c>
      <c r="C226" t="s">
        <v>1317</v>
      </c>
      <c r="D226" t="s">
        <v>231</v>
      </c>
      <c r="E226">
        <v>210</v>
      </c>
      <c r="F226" t="s">
        <v>1088</v>
      </c>
      <c r="G226" t="s">
        <v>161</v>
      </c>
      <c r="H226" t="s">
        <v>1318</v>
      </c>
      <c r="I226" t="s">
        <v>1319</v>
      </c>
      <c r="J226" t="s">
        <v>1088</v>
      </c>
      <c r="K226" t="s">
        <v>235</v>
      </c>
      <c r="L226" t="s">
        <v>1091</v>
      </c>
      <c r="M226" t="s">
        <v>1320</v>
      </c>
    </row>
    <row r="227" spans="1:14">
      <c r="A227" s="3" t="s">
        <v>1639</v>
      </c>
      <c r="B227" t="s">
        <v>1321</v>
      </c>
      <c r="C227" t="s">
        <v>1322</v>
      </c>
      <c r="D227" t="s">
        <v>231</v>
      </c>
      <c r="E227">
        <v>250</v>
      </c>
      <c r="F227" t="s">
        <v>1323</v>
      </c>
      <c r="G227" t="s">
        <v>161</v>
      </c>
      <c r="H227" t="s">
        <v>1324</v>
      </c>
      <c r="I227" t="s">
        <v>1325</v>
      </c>
      <c r="J227" t="s">
        <v>1222</v>
      </c>
      <c r="K227" t="s">
        <v>235</v>
      </c>
      <c r="L227" t="s">
        <v>1193</v>
      </c>
      <c r="M227" t="s">
        <v>1326</v>
      </c>
    </row>
    <row r="228" spans="1:14">
      <c r="A228" s="3" t="s">
        <v>1639</v>
      </c>
      <c r="B228" t="s">
        <v>1337</v>
      </c>
      <c r="C228" t="s">
        <v>1338</v>
      </c>
      <c r="D228" t="s">
        <v>231</v>
      </c>
      <c r="E228">
        <v>273</v>
      </c>
      <c r="F228" t="s">
        <v>1078</v>
      </c>
      <c r="G228" t="s">
        <v>161</v>
      </c>
      <c r="H228" t="s">
        <v>1339</v>
      </c>
      <c r="I228" t="s">
        <v>1340</v>
      </c>
      <c r="J228" t="s">
        <v>1078</v>
      </c>
      <c r="K228" t="s">
        <v>235</v>
      </c>
      <c r="L228" t="s">
        <v>1079</v>
      </c>
      <c r="M228" t="s">
        <v>1341</v>
      </c>
      <c r="N228" t="s">
        <v>1342</v>
      </c>
    </row>
    <row r="229" spans="1:14">
      <c r="A229" s="3" t="s">
        <v>1639</v>
      </c>
      <c r="B229" t="s">
        <v>1343</v>
      </c>
      <c r="C229" t="s">
        <v>1344</v>
      </c>
      <c r="D229" t="s">
        <v>231</v>
      </c>
      <c r="E229">
        <v>26</v>
      </c>
      <c r="F229" t="s">
        <v>1345</v>
      </c>
      <c r="G229" t="s">
        <v>161</v>
      </c>
      <c r="H229" t="s">
        <v>1346</v>
      </c>
      <c r="I229" t="s">
        <v>1347</v>
      </c>
      <c r="J229" t="s">
        <v>1348</v>
      </c>
      <c r="K229" t="s">
        <v>235</v>
      </c>
      <c r="L229" t="s">
        <v>1349</v>
      </c>
      <c r="M229" t="s">
        <v>1350</v>
      </c>
      <c r="N229" t="s">
        <v>1351</v>
      </c>
    </row>
    <row r="230" spans="1:14">
      <c r="A230" s="3" t="s">
        <v>1639</v>
      </c>
      <c r="B230" t="s">
        <v>1352</v>
      </c>
      <c r="C230" t="s">
        <v>1353</v>
      </c>
      <c r="D230" t="s">
        <v>231</v>
      </c>
      <c r="E230">
        <v>41</v>
      </c>
      <c r="F230" t="s">
        <v>184</v>
      </c>
      <c r="G230" t="s">
        <v>161</v>
      </c>
      <c r="H230" t="s">
        <v>1354</v>
      </c>
      <c r="I230" t="s">
        <v>1355</v>
      </c>
      <c r="J230" t="s">
        <v>184</v>
      </c>
      <c r="K230" t="s">
        <v>235</v>
      </c>
      <c r="L230" t="s">
        <v>185</v>
      </c>
      <c r="M230" t="s">
        <v>1356</v>
      </c>
    </row>
    <row r="231" spans="1:14">
      <c r="A231" s="3" t="s">
        <v>1639</v>
      </c>
      <c r="B231" t="s">
        <v>1364</v>
      </c>
      <c r="C231" t="s">
        <v>1365</v>
      </c>
      <c r="D231" t="s">
        <v>231</v>
      </c>
      <c r="E231">
        <v>43</v>
      </c>
      <c r="F231" t="s">
        <v>192</v>
      </c>
      <c r="G231" t="s">
        <v>161</v>
      </c>
      <c r="H231" t="s">
        <v>1366</v>
      </c>
      <c r="I231" t="s">
        <v>1367</v>
      </c>
      <c r="J231" t="s">
        <v>192</v>
      </c>
      <c r="K231" t="s">
        <v>235</v>
      </c>
      <c r="L231" t="s">
        <v>193</v>
      </c>
      <c r="M231" t="s">
        <v>1368</v>
      </c>
      <c r="N231" t="s">
        <v>1369</v>
      </c>
    </row>
    <row r="232" spans="1:14">
      <c r="A232" s="3" t="s">
        <v>1639</v>
      </c>
      <c r="B232" t="s">
        <v>1380</v>
      </c>
      <c r="C232" t="s">
        <v>1381</v>
      </c>
      <c r="D232" t="s">
        <v>231</v>
      </c>
      <c r="E232">
        <v>75</v>
      </c>
      <c r="F232" t="s">
        <v>1249</v>
      </c>
      <c r="G232" t="s">
        <v>161</v>
      </c>
      <c r="H232" t="s">
        <v>1382</v>
      </c>
      <c r="I232" t="s">
        <v>1383</v>
      </c>
      <c r="J232" t="s">
        <v>1249</v>
      </c>
      <c r="K232" t="s">
        <v>235</v>
      </c>
      <c r="L232" t="s">
        <v>1252</v>
      </c>
      <c r="M232" t="s">
        <v>1384</v>
      </c>
    </row>
    <row r="233" spans="1:14">
      <c r="A233" s="3" t="s">
        <v>1639</v>
      </c>
      <c r="B233" t="s">
        <v>1385</v>
      </c>
      <c r="C233" t="s">
        <v>1386</v>
      </c>
      <c r="D233" t="s">
        <v>231</v>
      </c>
      <c r="E233">
        <v>25</v>
      </c>
      <c r="F233" t="s">
        <v>1182</v>
      </c>
      <c r="G233" t="s">
        <v>161</v>
      </c>
      <c r="H233" t="s">
        <v>1387</v>
      </c>
      <c r="I233" t="s">
        <v>1388</v>
      </c>
      <c r="J233" t="s">
        <v>1182</v>
      </c>
      <c r="K233" t="s">
        <v>235</v>
      </c>
      <c r="L233" t="s">
        <v>1145</v>
      </c>
      <c r="M233" t="s">
        <v>1389</v>
      </c>
      <c r="N233" t="s">
        <v>1390</v>
      </c>
    </row>
    <row r="234" spans="1:14">
      <c r="A234" s="3" t="s">
        <v>1639</v>
      </c>
      <c r="B234" t="s">
        <v>1391</v>
      </c>
      <c r="C234" t="s">
        <v>1392</v>
      </c>
      <c r="D234" t="s">
        <v>231</v>
      </c>
      <c r="E234">
        <v>97</v>
      </c>
      <c r="F234" t="s">
        <v>1393</v>
      </c>
      <c r="G234" t="s">
        <v>161</v>
      </c>
      <c r="H234" t="s">
        <v>1394</v>
      </c>
      <c r="I234" t="s">
        <v>1395</v>
      </c>
      <c r="J234" t="s">
        <v>1396</v>
      </c>
      <c r="K234" t="s">
        <v>235</v>
      </c>
      <c r="L234" t="s">
        <v>1397</v>
      </c>
      <c r="M234" t="s">
        <v>1398</v>
      </c>
    </row>
    <row r="235" spans="1:14">
      <c r="A235" s="3" t="s">
        <v>1639</v>
      </c>
      <c r="B235" t="s">
        <v>1399</v>
      </c>
      <c r="C235" t="s">
        <v>1400</v>
      </c>
      <c r="D235" t="s">
        <v>231</v>
      </c>
      <c r="E235">
        <v>305</v>
      </c>
      <c r="F235" t="s">
        <v>1222</v>
      </c>
      <c r="G235" t="s">
        <v>161</v>
      </c>
      <c r="H235" t="s">
        <v>1401</v>
      </c>
      <c r="I235" t="s">
        <v>1402</v>
      </c>
      <c r="J235" t="s">
        <v>1189</v>
      </c>
      <c r="K235" t="s">
        <v>235</v>
      </c>
      <c r="L235" t="s">
        <v>1193</v>
      </c>
      <c r="M235" t="s">
        <v>1403</v>
      </c>
    </row>
    <row r="236" spans="1:14">
      <c r="A236" s="3" t="s">
        <v>1639</v>
      </c>
      <c r="B236" t="s">
        <v>1459</v>
      </c>
      <c r="C236" t="s">
        <v>1460</v>
      </c>
      <c r="D236" t="s">
        <v>231</v>
      </c>
      <c r="E236">
        <v>207</v>
      </c>
      <c r="F236" t="s">
        <v>208</v>
      </c>
      <c r="G236" t="s">
        <v>161</v>
      </c>
      <c r="H236" t="s">
        <v>1461</v>
      </c>
      <c r="I236" t="s">
        <v>1462</v>
      </c>
      <c r="J236" t="s">
        <v>208</v>
      </c>
      <c r="K236" t="s">
        <v>235</v>
      </c>
      <c r="L236" t="s">
        <v>209</v>
      </c>
      <c r="M236" t="s">
        <v>1463</v>
      </c>
    </row>
    <row r="237" spans="1:14">
      <c r="A237" s="3" t="s">
        <v>1639</v>
      </c>
      <c r="B237" t="s">
        <v>1464</v>
      </c>
      <c r="C237" t="s">
        <v>1465</v>
      </c>
      <c r="D237" t="s">
        <v>231</v>
      </c>
      <c r="E237">
        <v>160</v>
      </c>
      <c r="F237" t="s">
        <v>160</v>
      </c>
      <c r="G237" t="s">
        <v>161</v>
      </c>
      <c r="H237" t="s">
        <v>1466</v>
      </c>
      <c r="I237" t="s">
        <v>1467</v>
      </c>
      <c r="J237" t="s">
        <v>1075</v>
      </c>
      <c r="K237" t="s">
        <v>235</v>
      </c>
      <c r="L237" t="s">
        <v>1468</v>
      </c>
      <c r="M237" t="s">
        <v>1469</v>
      </c>
    </row>
    <row r="238" spans="1:14">
      <c r="A238" s="3" t="s">
        <v>1639</v>
      </c>
      <c r="B238" t="s">
        <v>1475</v>
      </c>
      <c r="C238" t="s">
        <v>1476</v>
      </c>
      <c r="D238" t="s">
        <v>231</v>
      </c>
      <c r="E238">
        <v>143</v>
      </c>
      <c r="F238" t="s">
        <v>1075</v>
      </c>
      <c r="G238" t="s">
        <v>161</v>
      </c>
      <c r="H238" t="s">
        <v>1477</v>
      </c>
      <c r="I238" t="s">
        <v>1478</v>
      </c>
      <c r="J238" t="s">
        <v>1075</v>
      </c>
      <c r="K238" t="s">
        <v>235</v>
      </c>
      <c r="L238" t="s">
        <v>162</v>
      </c>
      <c r="M238" t="s">
        <v>1479</v>
      </c>
    </row>
    <row r="239" spans="1:14">
      <c r="A239" s="3" t="s">
        <v>1639</v>
      </c>
      <c r="B239" t="s">
        <v>1480</v>
      </c>
      <c r="C239" t="s">
        <v>1481</v>
      </c>
      <c r="D239" t="s">
        <v>231</v>
      </c>
      <c r="E239">
        <v>300</v>
      </c>
      <c r="F239" t="s">
        <v>1075</v>
      </c>
      <c r="G239" t="s">
        <v>161</v>
      </c>
      <c r="H239" t="s">
        <v>1477</v>
      </c>
      <c r="I239" t="s">
        <v>1478</v>
      </c>
      <c r="J239" t="s">
        <v>1075</v>
      </c>
      <c r="K239" t="s">
        <v>235</v>
      </c>
      <c r="L239" t="s">
        <v>162</v>
      </c>
      <c r="M239" t="s">
        <v>1479</v>
      </c>
    </row>
    <row r="240" spans="1:14">
      <c r="A240" s="3" t="s">
        <v>1639</v>
      </c>
      <c r="B240" t="s">
        <v>1495</v>
      </c>
      <c r="C240" t="s">
        <v>1496</v>
      </c>
      <c r="D240" t="s">
        <v>231</v>
      </c>
      <c r="E240">
        <v>272</v>
      </c>
      <c r="F240" t="s">
        <v>1088</v>
      </c>
      <c r="G240" t="s">
        <v>161</v>
      </c>
      <c r="H240" t="s">
        <v>1497</v>
      </c>
      <c r="I240" t="s">
        <v>1498</v>
      </c>
      <c r="J240" t="s">
        <v>1088</v>
      </c>
      <c r="K240" t="s">
        <v>235</v>
      </c>
      <c r="L240" t="s">
        <v>1091</v>
      </c>
      <c r="M240" t="s">
        <v>1499</v>
      </c>
    </row>
    <row r="241" spans="1:14">
      <c r="A241" s="3" t="s">
        <v>1639</v>
      </c>
      <c r="B241" t="s">
        <v>1500</v>
      </c>
      <c r="C241" t="s">
        <v>1501</v>
      </c>
      <c r="D241" t="s">
        <v>231</v>
      </c>
      <c r="E241">
        <v>75</v>
      </c>
      <c r="F241" t="s">
        <v>1103</v>
      </c>
      <c r="G241" t="s">
        <v>161</v>
      </c>
      <c r="H241" t="s">
        <v>1502</v>
      </c>
      <c r="I241" t="s">
        <v>405</v>
      </c>
      <c r="J241" t="s">
        <v>1103</v>
      </c>
      <c r="K241" t="s">
        <v>235</v>
      </c>
      <c r="L241" t="s">
        <v>1106</v>
      </c>
      <c r="M241" t="s">
        <v>1503</v>
      </c>
      <c r="N241" t="s">
        <v>1504</v>
      </c>
    </row>
    <row r="242" spans="1:14">
      <c r="A242" s="3" t="s">
        <v>1639</v>
      </c>
      <c r="B242" t="s">
        <v>1511</v>
      </c>
      <c r="C242" t="s">
        <v>1512</v>
      </c>
      <c r="D242" t="s">
        <v>231</v>
      </c>
      <c r="E242">
        <v>50</v>
      </c>
      <c r="F242" t="s">
        <v>1078</v>
      </c>
      <c r="G242" t="s">
        <v>161</v>
      </c>
      <c r="H242" t="s">
        <v>1513</v>
      </c>
      <c r="I242" t="s">
        <v>1514</v>
      </c>
      <c r="J242" t="s">
        <v>1124</v>
      </c>
      <c r="K242" t="s">
        <v>235</v>
      </c>
      <c r="L242" t="s">
        <v>1297</v>
      </c>
      <c r="M242" t="s">
        <v>1515</v>
      </c>
      <c r="N242" t="s">
        <v>1516</v>
      </c>
    </row>
    <row r="243" spans="1:14">
      <c r="A243" s="3" t="s">
        <v>1639</v>
      </c>
      <c r="B243" t="s">
        <v>1517</v>
      </c>
      <c r="C243" t="s">
        <v>1518</v>
      </c>
      <c r="D243" t="s">
        <v>231</v>
      </c>
      <c r="E243">
        <v>155</v>
      </c>
      <c r="F243" t="s">
        <v>176</v>
      </c>
      <c r="G243" t="s">
        <v>161</v>
      </c>
      <c r="H243" t="s">
        <v>1519</v>
      </c>
      <c r="I243" t="s">
        <v>1520</v>
      </c>
      <c r="J243" t="s">
        <v>176</v>
      </c>
      <c r="K243" t="s">
        <v>235</v>
      </c>
      <c r="L243" t="s">
        <v>177</v>
      </c>
      <c r="M243" t="s">
        <v>1521</v>
      </c>
      <c r="N243" t="s">
        <v>1522</v>
      </c>
    </row>
    <row r="244" spans="1:14">
      <c r="A244" s="3" t="s">
        <v>1639</v>
      </c>
      <c r="B244" t="s">
        <v>1523</v>
      </c>
      <c r="C244" t="s">
        <v>1524</v>
      </c>
      <c r="D244" t="s">
        <v>231</v>
      </c>
      <c r="E244">
        <v>193</v>
      </c>
      <c r="F244" t="s">
        <v>176</v>
      </c>
      <c r="G244" t="s">
        <v>161</v>
      </c>
      <c r="H244" t="s">
        <v>1519</v>
      </c>
      <c r="I244" t="s">
        <v>1520</v>
      </c>
      <c r="J244" t="s">
        <v>176</v>
      </c>
      <c r="K244" t="s">
        <v>235</v>
      </c>
      <c r="L244" t="s">
        <v>177</v>
      </c>
      <c r="M244" t="s">
        <v>1521</v>
      </c>
      <c r="N244" t="s">
        <v>1522</v>
      </c>
    </row>
    <row r="245" spans="1:14">
      <c r="A245" s="3" t="s">
        <v>1639</v>
      </c>
      <c r="B245" t="s">
        <v>1525</v>
      </c>
      <c r="C245" t="s">
        <v>1526</v>
      </c>
      <c r="D245" t="s">
        <v>231</v>
      </c>
      <c r="E245">
        <v>370</v>
      </c>
      <c r="F245" t="s">
        <v>1078</v>
      </c>
      <c r="G245" t="s">
        <v>161</v>
      </c>
      <c r="H245" t="s">
        <v>1527</v>
      </c>
      <c r="I245" t="s">
        <v>1528</v>
      </c>
      <c r="J245" t="s">
        <v>1078</v>
      </c>
      <c r="K245" t="s">
        <v>235</v>
      </c>
      <c r="L245" t="s">
        <v>1079</v>
      </c>
      <c r="M245" t="s">
        <v>1529</v>
      </c>
      <c r="N245" t="s">
        <v>1530</v>
      </c>
    </row>
    <row r="246" spans="1:14">
      <c r="A246" s="3" t="s">
        <v>1639</v>
      </c>
      <c r="B246" t="s">
        <v>1531</v>
      </c>
      <c r="C246" t="s">
        <v>1532</v>
      </c>
      <c r="D246" t="s">
        <v>231</v>
      </c>
      <c r="E246">
        <v>35</v>
      </c>
      <c r="F246" t="s">
        <v>184</v>
      </c>
      <c r="G246" t="s">
        <v>161</v>
      </c>
      <c r="H246" t="s">
        <v>1533</v>
      </c>
      <c r="I246" t="s">
        <v>1534</v>
      </c>
      <c r="J246" t="s">
        <v>184</v>
      </c>
      <c r="K246" t="s">
        <v>235</v>
      </c>
      <c r="L246" t="s">
        <v>185</v>
      </c>
      <c r="M246" t="s">
        <v>1535</v>
      </c>
      <c r="N246" t="s">
        <v>1536</v>
      </c>
    </row>
    <row r="247" spans="1:14">
      <c r="A247" s="3" t="s">
        <v>1639</v>
      </c>
      <c r="B247" t="s">
        <v>1542</v>
      </c>
      <c r="C247" t="s">
        <v>1543</v>
      </c>
      <c r="D247" t="s">
        <v>231</v>
      </c>
      <c r="E247">
        <v>55</v>
      </c>
      <c r="F247" t="s">
        <v>1189</v>
      </c>
      <c r="G247" t="s">
        <v>161</v>
      </c>
      <c r="H247" t="s">
        <v>1544</v>
      </c>
      <c r="I247" t="s">
        <v>1545</v>
      </c>
      <c r="J247" t="s">
        <v>1189</v>
      </c>
      <c r="K247" t="s">
        <v>235</v>
      </c>
      <c r="L247" t="s">
        <v>1546</v>
      </c>
      <c r="M247" t="s">
        <v>1547</v>
      </c>
      <c r="N247" t="s">
        <v>1548</v>
      </c>
    </row>
    <row r="248" spans="1:14">
      <c r="A248" s="3" t="s">
        <v>1639</v>
      </c>
      <c r="B248" t="s">
        <v>1555</v>
      </c>
      <c r="C248" t="s">
        <v>1556</v>
      </c>
      <c r="D248" t="s">
        <v>231</v>
      </c>
      <c r="E248">
        <v>75</v>
      </c>
      <c r="F248" t="s">
        <v>1301</v>
      </c>
      <c r="G248" t="s">
        <v>161</v>
      </c>
      <c r="H248" t="s">
        <v>1557</v>
      </c>
      <c r="I248" t="s">
        <v>1558</v>
      </c>
      <c r="J248" t="s">
        <v>1301</v>
      </c>
      <c r="K248" t="s">
        <v>235</v>
      </c>
      <c r="L248" t="s">
        <v>1413</v>
      </c>
      <c r="M248" t="s">
        <v>1559</v>
      </c>
      <c r="N248" t="s">
        <v>1560</v>
      </c>
    </row>
    <row r="249" spans="1:14">
      <c r="A249" s="3" t="s">
        <v>1639</v>
      </c>
      <c r="B249" t="s">
        <v>1561</v>
      </c>
      <c r="C249" t="s">
        <v>1562</v>
      </c>
      <c r="D249" t="s">
        <v>231</v>
      </c>
      <c r="E249">
        <v>30</v>
      </c>
      <c r="F249" t="s">
        <v>192</v>
      </c>
      <c r="G249" t="s">
        <v>161</v>
      </c>
      <c r="H249" t="s">
        <v>1563</v>
      </c>
      <c r="I249" t="s">
        <v>1564</v>
      </c>
      <c r="J249" t="s">
        <v>192</v>
      </c>
      <c r="K249" t="s">
        <v>235</v>
      </c>
      <c r="L249" t="s">
        <v>193</v>
      </c>
      <c r="M249" t="s">
        <v>1565</v>
      </c>
    </row>
    <row r="250" spans="1:14">
      <c r="A250" s="3" t="s">
        <v>1639</v>
      </c>
      <c r="B250" t="s">
        <v>1574</v>
      </c>
      <c r="C250" t="s">
        <v>1575</v>
      </c>
      <c r="D250" t="s">
        <v>231</v>
      </c>
      <c r="E250">
        <v>25</v>
      </c>
      <c r="F250" t="s">
        <v>1576</v>
      </c>
      <c r="G250" t="s">
        <v>161</v>
      </c>
      <c r="H250" t="s">
        <v>1577</v>
      </c>
      <c r="I250" t="s">
        <v>1578</v>
      </c>
      <c r="J250" t="s">
        <v>1078</v>
      </c>
      <c r="K250" t="s">
        <v>235</v>
      </c>
      <c r="L250" t="s">
        <v>1079</v>
      </c>
      <c r="M250" t="s">
        <v>1579</v>
      </c>
      <c r="N250" t="s">
        <v>1580</v>
      </c>
    </row>
    <row r="251" spans="1:14">
      <c r="A251" s="3" t="s">
        <v>1639</v>
      </c>
      <c r="B251" t="s">
        <v>1587</v>
      </c>
      <c r="C251" t="s">
        <v>1588</v>
      </c>
      <c r="D251" t="s">
        <v>231</v>
      </c>
      <c r="E251">
        <v>25</v>
      </c>
      <c r="F251" t="s">
        <v>1589</v>
      </c>
      <c r="G251" t="s">
        <v>161</v>
      </c>
      <c r="H251" t="s">
        <v>1590</v>
      </c>
      <c r="I251" t="s">
        <v>1591</v>
      </c>
      <c r="J251" t="s">
        <v>1592</v>
      </c>
      <c r="K251" t="s">
        <v>235</v>
      </c>
      <c r="L251" t="s">
        <v>162</v>
      </c>
      <c r="M251" t="s">
        <v>1593</v>
      </c>
    </row>
    <row r="252" spans="1:14">
      <c r="A252" s="3" t="s">
        <v>1639</v>
      </c>
      <c r="B252" t="s">
        <v>1611</v>
      </c>
      <c r="C252" t="s">
        <v>1612</v>
      </c>
      <c r="D252" t="s">
        <v>231</v>
      </c>
      <c r="E252">
        <v>50</v>
      </c>
      <c r="F252" t="s">
        <v>1078</v>
      </c>
      <c r="G252" t="s">
        <v>161</v>
      </c>
      <c r="H252" t="s">
        <v>1613</v>
      </c>
      <c r="I252" t="s">
        <v>1614</v>
      </c>
      <c r="J252" t="s">
        <v>1078</v>
      </c>
      <c r="K252" t="s">
        <v>235</v>
      </c>
      <c r="L252" t="s">
        <v>1615</v>
      </c>
      <c r="M252" t="s">
        <v>1616</v>
      </c>
      <c r="N252" t="s">
        <v>1617</v>
      </c>
    </row>
    <row r="253" spans="1:14">
      <c r="A253" s="3" t="s">
        <v>1639</v>
      </c>
      <c r="B253" t="s">
        <v>1624</v>
      </c>
      <c r="C253" t="s">
        <v>1625</v>
      </c>
      <c r="D253" t="s">
        <v>231</v>
      </c>
      <c r="E253">
        <v>157</v>
      </c>
      <c r="F253" t="s">
        <v>1345</v>
      </c>
      <c r="G253" t="s">
        <v>161</v>
      </c>
      <c r="H253" t="s">
        <v>1626</v>
      </c>
      <c r="I253" t="s">
        <v>1627</v>
      </c>
      <c r="J253" t="s">
        <v>1348</v>
      </c>
      <c r="K253" t="s">
        <v>235</v>
      </c>
      <c r="L253" t="s">
        <v>1349</v>
      </c>
      <c r="M253" t="s">
        <v>1628</v>
      </c>
      <c r="N253" t="s">
        <v>1629</v>
      </c>
    </row>
    <row r="254" spans="1:14">
      <c r="A254" s="3" t="s">
        <v>1639</v>
      </c>
      <c r="B254" t="s">
        <v>1630</v>
      </c>
      <c r="C254" t="s">
        <v>1631</v>
      </c>
      <c r="D254" t="s">
        <v>231</v>
      </c>
      <c r="E254">
        <v>30</v>
      </c>
      <c r="F254" t="s">
        <v>1632</v>
      </c>
      <c r="G254" t="s">
        <v>161</v>
      </c>
      <c r="H254" t="s">
        <v>1633</v>
      </c>
      <c r="I254" t="s">
        <v>1634</v>
      </c>
      <c r="J254" t="s">
        <v>1632</v>
      </c>
      <c r="K254" t="s">
        <v>235</v>
      </c>
      <c r="L254" t="s">
        <v>1635</v>
      </c>
      <c r="M254" t="s">
        <v>1636</v>
      </c>
      <c r="N254" t="s">
        <v>1637</v>
      </c>
    </row>
    <row r="255" spans="1:14">
      <c r="E255" s="4">
        <f>COUNT(E147:E170)</f>
        <v>24</v>
      </c>
    </row>
  </sheetData>
  <sortState ref="B2:N254">
    <sortCondition ref="G2:G254"/>
    <sortCondition ref="D2:D254"/>
    <sortCondition ref="C2:C254"/>
  </sortState>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Matrix</vt:lpstr>
      <vt:lpstr>Analysis</vt:lpstr>
      <vt:lpstr>Benchmark</vt:lpstr>
      <vt:lpstr>Notes</vt:lpstr>
      <vt:lpstr>Financial Ratios</vt:lpstr>
      <vt:lpstr>Data Set</vt:lpstr>
      <vt:lpstr>2000 LMI</vt:lpstr>
      <vt:lpstr>Wastewater Systems</vt:lpstr>
      <vt:lpstr>Water Systems</vt:lpstr>
      <vt:lpstr>Water Rates_20130227</vt:lpstr>
    </vt:vector>
  </TitlesOfParts>
  <Company>RCAP Solutions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INFRASTRUCTURE_Gro-WA Component Report </dc:title>
  <dc:subject>Water Infrastructure Analysis in Gro-WA area</dc:subject>
  <dc:creator>Art Astarita - RCAP Solutions</dc:creator>
  <dc:description>Should be accompanied by the INFRASTRUCTURE_Gro-WA Component Report Excel Workbook</dc:description>
  <cp:lastModifiedBy>Judy East</cp:lastModifiedBy>
  <cp:lastPrinted>2014-01-17T14:56:55Z</cp:lastPrinted>
  <dcterms:created xsi:type="dcterms:W3CDTF">2013-02-27T14:08:15Z</dcterms:created>
  <dcterms:modified xsi:type="dcterms:W3CDTF">2014-02-10T16:22:35Z</dcterms:modified>
  <cp:contentStatus>Final Report</cp:contentStatus>
</cp:coreProperties>
</file>